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0" windowWidth="18960" windowHeight="12180" activeTab="0"/>
  </bookViews>
  <sheets>
    <sheet name="会社シート" sheetId="1" r:id="rId1"/>
    <sheet name="プレイヤーシート" sheetId="2" r:id="rId2"/>
    <sheet name="株価シート" sheetId="3" r:id="rId3"/>
    <sheet name="マップ (2)" sheetId="4" r:id="rId4"/>
    <sheet name="WORK" sheetId="5" state="hidden" r:id="rId5"/>
  </sheets>
  <definedNames/>
  <calcPr fullCalcOnLoad="1"/>
</workbook>
</file>

<file path=xl/sharedStrings.xml><?xml version="1.0" encoding="utf-8"?>
<sst xmlns="http://schemas.openxmlformats.org/spreadsheetml/2006/main" count="1755" uniqueCount="214">
  <si>
    <t>プレイヤー名</t>
  </si>
  <si>
    <t>現金</t>
  </si>
  <si>
    <t>株式資産</t>
  </si>
  <si>
    <t>総資産</t>
  </si>
  <si>
    <t>公共会社株数</t>
  </si>
  <si>
    <t>個人会社</t>
  </si>
  <si>
    <t>会社名</t>
  </si>
  <si>
    <t>２列車</t>
  </si>
  <si>
    <t>４列車</t>
  </si>
  <si>
    <t>５列車</t>
  </si>
  <si>
    <t>６列車</t>
  </si>
  <si>
    <t>Ｄ列車</t>
  </si>
  <si>
    <t>残</t>
  </si>
  <si>
    <t>総数</t>
  </si>
  <si>
    <t>列車</t>
  </si>
  <si>
    <t>個人会社</t>
  </si>
  <si>
    <t>Rev.</t>
  </si>
  <si>
    <t>株価表</t>
  </si>
  <si>
    <t>額面価格</t>
  </si>
  <si>
    <t>Close</t>
  </si>
  <si>
    <t>リベニュー</t>
  </si>
  <si>
    <t>３列車</t>
  </si>
  <si>
    <t>∞</t>
  </si>
  <si>
    <t>収入</t>
  </si>
  <si>
    <t>資産価格</t>
  </si>
  <si>
    <t>株資産価格</t>
  </si>
  <si>
    <t>1株
配当額</t>
  </si>
  <si>
    <t>総計</t>
  </si>
  <si>
    <t>1株
価格</t>
  </si>
  <si>
    <t>支出</t>
  </si>
  <si>
    <t>総リベニュー</t>
  </si>
  <si>
    <t>資産
価値</t>
  </si>
  <si>
    <t>スタート資金計</t>
  </si>
  <si>
    <t>落札価格</t>
  </si>
  <si>
    <t>1株価格</t>
  </si>
  <si>
    <t>入札費用</t>
  </si>
  <si>
    <t>初期株式ラウンド</t>
  </si>
  <si>
    <t>売買株</t>
  </si>
  <si>
    <t>プレイヤー</t>
  </si>
  <si>
    <t>河南</t>
  </si>
  <si>
    <t>大軌</t>
  </si>
  <si>
    <t>大鉄</t>
  </si>
  <si>
    <t>奈良鉄</t>
  </si>
  <si>
    <t>神戸電鉄</t>
  </si>
  <si>
    <t>ＪＲ</t>
  </si>
  <si>
    <t>阪急</t>
  </si>
  <si>
    <t>阪神</t>
  </si>
  <si>
    <t>京阪</t>
  </si>
  <si>
    <t>南海</t>
  </si>
  <si>
    <t>大阪地下鉄</t>
  </si>
  <si>
    <t>近鉄</t>
  </si>
  <si>
    <t>山陽</t>
  </si>
  <si>
    <t>3-3列車</t>
  </si>
  <si>
    <t>2-2列車</t>
  </si>
  <si>
    <t>近鉄</t>
  </si>
  <si>
    <t>ＪＲ</t>
  </si>
  <si>
    <t>有馬</t>
  </si>
  <si>
    <t>神戸市電</t>
  </si>
  <si>
    <t>阪堺</t>
  </si>
  <si>
    <t>２国</t>
  </si>
  <si>
    <t>京津</t>
  </si>
  <si>
    <t>大阪市電</t>
  </si>
  <si>
    <t>小会社</t>
  </si>
  <si>
    <t>山陽</t>
  </si>
  <si>
    <t>後発会社</t>
  </si>
  <si>
    <t>神戸電鉄</t>
  </si>
  <si>
    <t>京福電鉄</t>
  </si>
  <si>
    <t>神戸高速鉄道</t>
  </si>
  <si>
    <t>北大阪急行</t>
  </si>
  <si>
    <t>泉北高速鉄道</t>
  </si>
  <si>
    <t>投了</t>
  </si>
  <si>
    <t>資産価値</t>
  </si>
  <si>
    <t>入札中金額</t>
  </si>
  <si>
    <t>現金</t>
  </si>
  <si>
    <t>1人当りの資金</t>
  </si>
  <si>
    <t>阪急</t>
  </si>
  <si>
    <t>配当額</t>
  </si>
  <si>
    <t>○</t>
  </si>
  <si>
    <t>○</t>
  </si>
  <si>
    <t>南海</t>
  </si>
  <si>
    <t>配当金額</t>
  </si>
  <si>
    <t>リベニュー額</t>
  </si>
  <si>
    <t>売却益</t>
  </si>
  <si>
    <t>投了</t>
  </si>
  <si>
    <t>売切れ判定後価格</t>
  </si>
  <si>
    <t>売買後株価</t>
  </si>
  <si>
    <t>プレイヤー現金</t>
  </si>
  <si>
    <t>初期
決定分
情報</t>
  </si>
  <si>
    <t>阪神</t>
  </si>
  <si>
    <t>株価ランク</t>
  </si>
  <si>
    <t>株価</t>
  </si>
  <si>
    <t>売買価格</t>
  </si>
  <si>
    <t>売買枚数</t>
  </si>
  <si>
    <t>株式ラウンド</t>
  </si>
  <si>
    <t>株売買費用</t>
  </si>
  <si>
    <t>公共会社の株式売買</t>
  </si>
  <si>
    <t>←追加位置</t>
  </si>
  <si>
    <t>←　新たに運営ラウンドを行う際には　この範囲列をコピーして「Ａ列」へ挿入する　→</t>
  </si>
  <si>
    <t>←　新たに株式ラウンドを行う際には　この範囲列をコピーして「Ａ列」へ挿入する　→</t>
  </si>
  <si>
    <t>売買集計表が不足するときは、既存の行をコピーしてから下記の位置に行を挿入する</t>
  </si>
  <si>
    <t>（運営後合併）</t>
  </si>
  <si>
    <t>（運営前合併）</t>
  </si>
  <si>
    <t>公開市場</t>
  </si>
  <si>
    <t>伊勢</t>
  </si>
  <si>
    <t>宇治</t>
  </si>
  <si>
    <t>奈良</t>
  </si>
  <si>
    <t>天理</t>
  </si>
  <si>
    <t>2/3/4</t>
  </si>
  <si>
    <t>桜井</t>
  </si>
  <si>
    <t>柏原</t>
  </si>
  <si>
    <t>山陰</t>
  </si>
  <si>
    <t>1/2/3</t>
  </si>
  <si>
    <t>堺</t>
  </si>
  <si>
    <t>岸和田</t>
  </si>
  <si>
    <t>泉佐野</t>
  </si>
  <si>
    <t>有馬</t>
  </si>
  <si>
    <t>和歌山</t>
  </si>
  <si>
    <t>関空</t>
  </si>
  <si>
    <t>2/3/4</t>
  </si>
  <si>
    <t>神戸</t>
  </si>
  <si>
    <t>0/0/5</t>
  </si>
  <si>
    <t>姫路</t>
  </si>
  <si>
    <t>4/5/7</t>
  </si>
  <si>
    <t>阪堺</t>
  </si>
  <si>
    <t>京津</t>
  </si>
  <si>
    <t>京福</t>
  </si>
  <si>
    <t>←</t>
  </si>
  <si>
    <t>→</t>
  </si>
  <si>
    <t>初期
資金</t>
  </si>
  <si>
    <t>新たに運営ラウンドを行う際には、この範囲行をコピーして「1行」へ挿入する</t>
  </si>
  <si>
    <t>２国</t>
  </si>
  <si>
    <t>阪神</t>
  </si>
  <si>
    <t>近江</t>
  </si>
  <si>
    <t>2/3/4</t>
  </si>
  <si>
    <t>京都</t>
  </si>
  <si>
    <t>高槻</t>
  </si>
  <si>
    <t>宝塚</t>
  </si>
  <si>
    <t>有馬</t>
  </si>
  <si>
    <t>谷上</t>
  </si>
  <si>
    <t>伊丹</t>
  </si>
  <si>
    <t>豊中</t>
  </si>
  <si>
    <t>枚方</t>
  </si>
  <si>
    <t>茨木</t>
  </si>
  <si>
    <t>明石</t>
  </si>
  <si>
    <t>神戸</t>
  </si>
  <si>
    <t>三木</t>
  </si>
  <si>
    <t>芦屋</t>
  </si>
  <si>
    <t>西宮</t>
  </si>
  <si>
    <t>尼崎</t>
  </si>
  <si>
    <t>吹田</t>
  </si>
  <si>
    <t>寝屋川</t>
  </si>
  <si>
    <t>大東</t>
  </si>
  <si>
    <t>守口</t>
  </si>
  <si>
    <t>大阪東</t>
  </si>
  <si>
    <t>大阪南</t>
  </si>
  <si>
    <t>大阪西</t>
  </si>
  <si>
    <t>東大阪</t>
  </si>
  <si>
    <t>泉大津</t>
  </si>
  <si>
    <t>大阪</t>
  </si>
  <si>
    <t>北</t>
  </si>
  <si>
    <t>A</t>
  </si>
  <si>
    <t>B</t>
  </si>
  <si>
    <t>C</t>
  </si>
  <si>
    <t>D</t>
  </si>
  <si>
    <t>E</t>
  </si>
  <si>
    <t>F</t>
  </si>
  <si>
    <t>G</t>
  </si>
  <si>
    <t>H</t>
  </si>
  <si>
    <t>I</t>
  </si>
  <si>
    <t>J</t>
  </si>
  <si>
    <t>K</t>
  </si>
  <si>
    <t>L</t>
  </si>
  <si>
    <t>M</t>
  </si>
  <si>
    <t>N</t>
  </si>
  <si>
    <t>0</t>
  </si>
  <si>
    <t>1</t>
  </si>
  <si>
    <t>2</t>
  </si>
  <si>
    <t>4</t>
  </si>
  <si>
    <t>6</t>
  </si>
  <si>
    <t>8</t>
  </si>
  <si>
    <t>10</t>
  </si>
  <si>
    <t>12</t>
  </si>
  <si>
    <t>14</t>
  </si>
  <si>
    <t>16</t>
  </si>
  <si>
    <t>18</t>
  </si>
  <si>
    <t>20</t>
  </si>
  <si>
    <t>3</t>
  </si>
  <si>
    <t>5</t>
  </si>
  <si>
    <t>7</t>
  </si>
  <si>
    <t>9</t>
  </si>
  <si>
    <t>11</t>
  </si>
  <si>
    <t>13</t>
  </si>
  <si>
    <t>15</t>
  </si>
  <si>
    <t>17</t>
  </si>
  <si>
    <t>19</t>
  </si>
  <si>
    <t>京阪</t>
  </si>
  <si>
    <t>CB様</t>
  </si>
  <si>
    <t>CB様</t>
  </si>
  <si>
    <t>えび様</t>
  </si>
  <si>
    <t>えび様</t>
  </si>
  <si>
    <t>近鉄</t>
  </si>
  <si>
    <t>阪急</t>
  </si>
  <si>
    <t>郡山</t>
  </si>
  <si>
    <t>神x3 近x1 京x4</t>
  </si>
  <si>
    <t>×</t>
  </si>
  <si>
    <t>×</t>
  </si>
  <si>
    <t>×</t>
  </si>
  <si>
    <t>○</t>
  </si>
  <si>
    <t>南海</t>
  </si>
  <si>
    <t>山陽</t>
  </si>
  <si>
    <t>大阪地下鉄</t>
  </si>
  <si>
    <t>神x4 急x1 地x1 京x4</t>
  </si>
  <si>
    <t>神x4 急x1 地x1 京x4 近x1</t>
  </si>
  <si>
    <t>急x2 京x3 南x4</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</si>
</sst>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 #,##0;\-\$#,##0"/>
    <numFmt numFmtId="179" formatCode="\$\ #,##0.00;\-\$#,##0.00"/>
    <numFmt numFmtId="180" formatCode="\$\ #,##0_);[Red]\(\$#,##0\)"/>
    <numFmt numFmtId="181" formatCode="&quot;\&quot;\ #,##0;\-\$#,##0"/>
    <numFmt numFmtId="182" formatCode="&quot;\&quot;\ #,##0;&quot;\&quot;\ \-#,##0"/>
    <numFmt numFmtId="183" formatCode="&quot;第 &quot;0&quot; ターン&quot;"/>
    <numFmt numFmtId="184" formatCode="@\ &quot;運営ラウンド&quot;"/>
    <numFmt numFmtId="185" formatCode="&quot;第 &quot;0&quot; 運営ラウンド&quot;"/>
    <numFmt numFmtId="186" formatCode="0_);[Red]\(0\)"/>
  </numFmts>
  <fonts count="17">
    <font>
      <sz val="11"/>
      <name val="ＭＳ Ｐゴシック"/>
      <family val="0"/>
    </font>
    <font>
      <sz val="6"/>
      <name val="ＭＳ Ｐゴシック"/>
      <family val="3"/>
    </font>
    <font>
      <sz val="6"/>
      <name val="ＭＳ ゴシック"/>
      <family val="3"/>
    </font>
    <font>
      <sz val="8"/>
      <name val="ＭＳ ゴシック"/>
      <family val="3"/>
    </font>
    <font>
      <sz val="4"/>
      <name val="ＭＳ Ｐゴシック"/>
      <family val="3"/>
    </font>
    <font>
      <sz val="3"/>
      <name val="ＭＳ Ｐゴシック"/>
      <family val="3"/>
    </font>
    <font>
      <sz val="9"/>
      <name val="ＭＳ Ｐゴシック"/>
      <family val="3"/>
    </font>
    <font>
      <sz val="8"/>
      <name val="ＭＳ Ｐゴシック"/>
      <family val="3"/>
    </font>
    <font>
      <b/>
      <sz val="24"/>
      <name val="ＭＳ Ｐゴシック"/>
      <family val="3"/>
    </font>
    <font>
      <sz val="24"/>
      <name val="ＭＳ Ｐゴシック"/>
      <family val="3"/>
    </font>
    <font>
      <sz val="22"/>
      <name val="ＭＳ ゴシック"/>
      <family val="3"/>
    </font>
    <font>
      <u val="single"/>
      <sz val="11"/>
      <color indexed="12"/>
      <name val="ＭＳ Ｐゴシック"/>
      <family val="3"/>
    </font>
    <font>
      <u val="single"/>
      <sz val="11"/>
      <color indexed="36"/>
      <name val="ＭＳ Ｐゴシック"/>
      <family val="3"/>
    </font>
    <font>
      <b/>
      <sz val="11"/>
      <name val="ＭＳ Ｐゴシック"/>
      <family val="0"/>
    </font>
    <font>
      <sz val="11"/>
      <name val="ＭＳ ゴシック"/>
      <family val="3"/>
    </font>
    <font>
      <sz val="7"/>
      <name val="ＭＳ ゴシック"/>
      <family val="3"/>
    </font>
    <font>
      <sz val="9"/>
      <name val="MS UI Gothic"/>
      <family val="3"/>
    </font>
  </fonts>
  <fills count="13">
    <fill>
      <patternFill/>
    </fill>
    <fill>
      <patternFill patternType="gray125"/>
    </fill>
    <fill>
      <patternFill patternType="solid">
        <fgColor indexed="22"/>
        <bgColor indexed="64"/>
      </patternFill>
    </fill>
    <fill>
      <patternFill patternType="solid">
        <fgColor indexed="53"/>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10"/>
        <bgColor indexed="64"/>
      </patternFill>
    </fill>
    <fill>
      <patternFill patternType="solid">
        <fgColor indexed="51"/>
        <bgColor indexed="64"/>
      </patternFill>
    </fill>
    <fill>
      <patternFill patternType="solid">
        <fgColor indexed="57"/>
        <bgColor indexed="64"/>
      </patternFill>
    </fill>
    <fill>
      <patternFill patternType="solid">
        <fgColor indexed="40"/>
        <bgColor indexed="64"/>
      </patternFill>
    </fill>
  </fills>
  <borders count="117">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medium">
        <color indexed="10"/>
      </left>
      <right style="medium">
        <color indexed="10"/>
      </right>
      <top style="medium">
        <color indexed="10"/>
      </top>
      <bottom style="thin"/>
    </border>
    <border>
      <left style="medium">
        <color indexed="10"/>
      </left>
      <right style="medium">
        <color indexed="10"/>
      </right>
      <top style="thin"/>
      <bottom style="thin"/>
    </border>
    <border>
      <left style="medium">
        <color indexed="10"/>
      </left>
      <right style="medium">
        <color indexed="10"/>
      </right>
      <top style="thin"/>
      <bottom style="medium">
        <color indexed="10"/>
      </bottom>
    </border>
    <border>
      <left style="thin"/>
      <right style="medium"/>
      <top style="thin"/>
      <bottom style="medium"/>
    </border>
    <border>
      <left style="thin"/>
      <right style="medium"/>
      <top style="thin"/>
      <bottom style="thin"/>
    </border>
    <border>
      <left style="medium"/>
      <right style="medium"/>
      <top style="double"/>
      <bottom style="double"/>
    </border>
    <border>
      <left style="medium"/>
      <right style="medium"/>
      <top style="double"/>
      <bottom style="medium"/>
    </border>
    <border>
      <left style="medium"/>
      <right style="thin"/>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style="medium"/>
      <top style="medium"/>
      <bottom style="thin"/>
    </border>
    <border>
      <left>
        <color indexed="63"/>
      </left>
      <right style="thin"/>
      <top style="medium"/>
      <bottom style="thin"/>
    </border>
    <border>
      <left style="medium"/>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style="medium"/>
    </border>
    <border>
      <left>
        <color indexed="63"/>
      </left>
      <right style="thin"/>
      <top style="thin"/>
      <bottom style="medium"/>
    </border>
    <border>
      <left>
        <color indexed="63"/>
      </left>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medium"/>
    </border>
    <border>
      <left style="thin"/>
      <right style="thin"/>
      <top style="double"/>
      <bottom style="medium"/>
    </border>
    <border>
      <left style="thin"/>
      <right style="medium"/>
      <top style="double"/>
      <bottom style="medium"/>
    </border>
    <border>
      <left>
        <color indexed="63"/>
      </left>
      <right>
        <color indexed="63"/>
      </right>
      <top style="double"/>
      <bottom style="double"/>
    </border>
    <border>
      <left>
        <color indexed="63"/>
      </left>
      <right>
        <color indexed="63"/>
      </right>
      <top style="double"/>
      <bottom style="medium"/>
    </border>
    <border>
      <left style="medium"/>
      <right>
        <color indexed="63"/>
      </right>
      <top style="double"/>
      <bottom style="double"/>
    </border>
    <border>
      <left>
        <color indexed="63"/>
      </left>
      <right style="medium"/>
      <top style="double"/>
      <bottom style="double"/>
    </border>
    <border>
      <left style="medium"/>
      <right>
        <color indexed="63"/>
      </right>
      <top style="double"/>
      <bottom style="medium"/>
    </border>
    <border>
      <left>
        <color indexed="63"/>
      </left>
      <right style="medium"/>
      <top style="double"/>
      <bottom style="medium"/>
    </border>
    <border>
      <left style="medium"/>
      <right style="medium"/>
      <top style="thin"/>
      <bottom style="thin"/>
    </border>
    <border>
      <left style="thin"/>
      <right>
        <color indexed="63"/>
      </right>
      <top style="medium"/>
      <bottom style="medium"/>
    </border>
    <border>
      <left>
        <color indexed="63"/>
      </left>
      <right>
        <color indexed="63"/>
      </right>
      <top style="medium"/>
      <bottom>
        <color indexed="63"/>
      </bottom>
    </border>
    <border>
      <left style="thin"/>
      <right style="medium"/>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style="thin"/>
    </border>
    <border>
      <left>
        <color indexed="63"/>
      </left>
      <right>
        <color indexed="63"/>
      </right>
      <top>
        <color indexed="63"/>
      </top>
      <bottom style="medium"/>
    </border>
    <border>
      <left>
        <color indexed="63"/>
      </left>
      <right>
        <color indexed="63"/>
      </right>
      <top style="medium"/>
      <bottom style="medium"/>
    </border>
    <border>
      <left style="thin"/>
      <right style="medium"/>
      <top style="medium"/>
      <bottom>
        <color indexed="63"/>
      </bottom>
    </border>
    <border>
      <left style="medium"/>
      <right style="medium"/>
      <top style="medium"/>
      <bottom style="thin"/>
    </border>
    <border>
      <left style="medium"/>
      <right style="medium"/>
      <top style="thin"/>
      <bottom style="medium"/>
    </border>
    <border>
      <left style="medium"/>
      <right style="thin"/>
      <top style="medium"/>
      <bottom style="medium"/>
    </border>
    <border>
      <left>
        <color indexed="63"/>
      </left>
      <right style="medium"/>
      <top style="medium"/>
      <bottom style="medium"/>
    </border>
    <border>
      <left style="thin"/>
      <right style="thin"/>
      <top style="medium"/>
      <bottom style="thin"/>
    </border>
    <border>
      <left style="thin"/>
      <right style="medium"/>
      <top style="thin"/>
      <bottom>
        <color indexed="63"/>
      </bottom>
    </border>
    <border>
      <left>
        <color indexed="63"/>
      </left>
      <right>
        <color indexed="63"/>
      </right>
      <top style="thin"/>
      <bottom style="thin"/>
    </border>
    <border>
      <left>
        <color indexed="63"/>
      </left>
      <right>
        <color indexed="63"/>
      </right>
      <top style="medium"/>
      <bottom style="thin"/>
    </border>
    <border>
      <left>
        <color indexed="63"/>
      </left>
      <right>
        <color indexed="63"/>
      </right>
      <top style="thin"/>
      <bottom style="medium"/>
    </border>
    <border>
      <left style="medium"/>
      <right style="medium"/>
      <top style="thin"/>
      <bottom style="double"/>
    </border>
    <border>
      <left>
        <color indexed="63"/>
      </left>
      <right>
        <color indexed="63"/>
      </right>
      <top style="thin"/>
      <bottom style="double"/>
    </border>
    <border>
      <left style="thin"/>
      <right style="thin"/>
      <top style="thin"/>
      <bottom style="double"/>
    </border>
    <border>
      <left style="thin"/>
      <right style="medium"/>
      <top style="thin"/>
      <bottom style="double"/>
    </border>
    <border>
      <left>
        <color indexed="63"/>
      </left>
      <right style="thin"/>
      <top style="thin"/>
      <bottom style="double"/>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color indexed="63"/>
      </right>
      <top style="thin"/>
      <bottom>
        <color indexed="63"/>
      </bottom>
    </border>
    <border>
      <left style="thin"/>
      <right>
        <color indexed="63"/>
      </right>
      <top>
        <color indexed="63"/>
      </top>
      <bottom style="medium"/>
    </border>
    <border>
      <left style="thin"/>
      <right>
        <color indexed="63"/>
      </right>
      <top style="medium"/>
      <bottom style="thin"/>
    </border>
    <border>
      <left style="thin"/>
      <right>
        <color indexed="63"/>
      </right>
      <top style="thin"/>
      <bottom style="medium"/>
    </border>
    <border>
      <left style="thin"/>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style="thin"/>
      <right>
        <color indexed="63"/>
      </right>
      <top style="thin"/>
      <bottom style="dashDot"/>
    </border>
    <border>
      <left style="thin"/>
      <right style="medium"/>
      <top style="thin"/>
      <bottom style="dashDot"/>
    </border>
    <border>
      <left style="thin"/>
      <right>
        <color indexed="63"/>
      </right>
      <top style="dashDot"/>
      <bottom style="thin"/>
    </border>
    <border>
      <left style="medium"/>
      <right style="thin"/>
      <top style="dashDot"/>
      <bottom style="thin"/>
    </border>
    <border>
      <left style="thin"/>
      <right style="thin"/>
      <top style="dashDot"/>
      <bottom style="thin"/>
    </border>
    <border>
      <left style="thin"/>
      <right style="medium"/>
      <top style="dashDot"/>
      <bottom style="thin"/>
    </border>
    <border>
      <left>
        <color indexed="63"/>
      </left>
      <right style="thin"/>
      <top>
        <color indexed="63"/>
      </top>
      <bottom style="thin"/>
    </border>
    <border>
      <left style="thin"/>
      <right style="medium"/>
      <top>
        <color indexed="63"/>
      </top>
      <bottom style="thin"/>
    </border>
    <border>
      <left style="medium"/>
      <right style="medium"/>
      <top style="medium"/>
      <bottom style="medium"/>
    </border>
    <border>
      <left style="thin"/>
      <right style="thin"/>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style="dashDot"/>
      <bottom style="dashDot"/>
    </border>
    <border>
      <left style="thin"/>
      <right style="thin"/>
      <top style="dashDot"/>
      <bottom style="dashDot"/>
    </border>
    <border>
      <left style="thin"/>
      <right style="medium"/>
      <top style="dashDot"/>
      <bottom style="dashDot"/>
    </border>
    <border>
      <left>
        <color indexed="63"/>
      </left>
      <right style="thin"/>
      <top style="thin"/>
      <bottom style="dashDot"/>
    </border>
    <border>
      <left style="medium"/>
      <right style="thin"/>
      <top style="thin"/>
      <bottom>
        <color indexed="63"/>
      </bottom>
    </border>
    <border>
      <left style="medium"/>
      <right>
        <color indexed="63"/>
      </right>
      <top>
        <color indexed="63"/>
      </top>
      <bottom style="medium"/>
    </border>
    <border>
      <left style="medium"/>
      <right>
        <color indexed="63"/>
      </right>
      <top>
        <color indexed="63"/>
      </top>
      <bottom style="double"/>
    </border>
    <border>
      <left>
        <color indexed="63"/>
      </left>
      <right>
        <color indexed="63"/>
      </right>
      <top>
        <color indexed="63"/>
      </top>
      <bottom style="double"/>
    </border>
    <border>
      <left style="medium"/>
      <right style="thin"/>
      <top>
        <color indexed="63"/>
      </top>
      <bottom style="thin"/>
    </border>
    <border>
      <left style="medium"/>
      <right style="thin"/>
      <top style="thin"/>
      <bottom style="double"/>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ck">
        <color indexed="12"/>
      </left>
      <right>
        <color indexed="63"/>
      </right>
      <top style="thin"/>
      <bottom>
        <color indexed="63"/>
      </bottom>
    </border>
    <border>
      <left style="thick">
        <color indexed="12"/>
      </left>
      <right>
        <color indexed="63"/>
      </right>
      <top>
        <color indexed="63"/>
      </top>
      <bottom style="thin"/>
    </border>
    <border>
      <left style="thick">
        <color indexed="12"/>
      </left>
      <right style="thin"/>
      <top style="thin"/>
      <bottom>
        <color indexed="63"/>
      </bottom>
    </border>
    <border>
      <left style="thick">
        <color indexed="12"/>
      </left>
      <right style="thin"/>
      <top>
        <color indexed="63"/>
      </top>
      <bottom style="thin"/>
    </border>
    <border>
      <left>
        <color indexed="63"/>
      </left>
      <right style="thick">
        <color indexed="12"/>
      </right>
      <top style="thin"/>
      <bottom>
        <color indexed="63"/>
      </bottom>
    </border>
    <border>
      <left>
        <color indexed="63"/>
      </left>
      <right style="thick">
        <color indexed="12"/>
      </right>
      <top>
        <color indexed="63"/>
      </top>
      <bottom style="thick">
        <color indexed="12"/>
      </bottom>
    </border>
    <border>
      <left style="thick">
        <color indexed="12"/>
      </left>
      <right>
        <color indexed="63"/>
      </right>
      <top>
        <color indexed="63"/>
      </top>
      <bottom style="thick">
        <color indexed="12"/>
      </botto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574">
    <xf numFmtId="0" fontId="0" fillId="0" borderId="0" xfId="0" applyAlignment="1">
      <alignment/>
    </xf>
    <xf numFmtId="0" fontId="0" fillId="0" borderId="0" xfId="0"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0" fontId="0" fillId="0" borderId="0" xfId="0" applyBorder="1" applyAlignment="1">
      <alignment horizontal="left" vertical="top"/>
    </xf>
    <xf numFmtId="0" fontId="0" fillId="0" borderId="1" xfId="0" applyBorder="1" applyAlignment="1">
      <alignment horizontal="left" vertical="top"/>
    </xf>
    <xf numFmtId="0" fontId="0" fillId="2" borderId="1" xfId="0" applyFill="1" applyBorder="1" applyAlignment="1">
      <alignment horizontal="left" vertical="top"/>
    </xf>
    <xf numFmtId="0" fontId="0" fillId="3" borderId="1" xfId="0" applyFill="1" applyBorder="1" applyAlignment="1">
      <alignment horizontal="left" vertical="top"/>
    </xf>
    <xf numFmtId="0" fontId="0" fillId="4" borderId="1" xfId="0" applyFill="1"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8" fillId="0" borderId="0" xfId="0" applyFont="1" applyBorder="1" applyAlignment="1">
      <alignment horizontal="left" vertical="top"/>
    </xf>
    <xf numFmtId="0" fontId="0" fillId="0" borderId="8" xfId="0" applyBorder="1" applyAlignment="1">
      <alignment vertical="center"/>
    </xf>
    <xf numFmtId="0" fontId="0" fillId="0" borderId="1" xfId="0" applyBorder="1" applyAlignment="1">
      <alignment vertical="center"/>
    </xf>
    <xf numFmtId="0" fontId="0" fillId="0" borderId="9" xfId="0" applyBorder="1" applyAlignment="1">
      <alignment vertical="center"/>
    </xf>
    <xf numFmtId="5" fontId="0" fillId="0" borderId="0" xfId="0" applyNumberFormat="1" applyAlignment="1">
      <alignment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9" fillId="0" borderId="0" xfId="0" applyFont="1" applyBorder="1" applyAlignment="1">
      <alignment horizontal="left" vertical="top"/>
    </xf>
    <xf numFmtId="0" fontId="8" fillId="0" borderId="0" xfId="0" applyFont="1" applyBorder="1" applyAlignment="1">
      <alignment horizontal="center" vertical="top"/>
    </xf>
    <xf numFmtId="0" fontId="0" fillId="0" borderId="26" xfId="0" applyFill="1" applyBorder="1" applyAlignment="1">
      <alignment horizontal="center" vertical="center"/>
    </xf>
    <xf numFmtId="0" fontId="0" fillId="0" borderId="8" xfId="0" applyFill="1"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5" fontId="0" fillId="0" borderId="0" xfId="0" applyNumberFormat="1" applyAlignment="1">
      <alignment horizontal="center" vertical="center"/>
    </xf>
    <xf numFmtId="0" fontId="0" fillId="0" borderId="27" xfId="0" applyFill="1" applyBorder="1" applyAlignment="1">
      <alignment horizontal="center" vertical="center"/>
    </xf>
    <xf numFmtId="0" fontId="0" fillId="0" borderId="26" xfId="0" applyBorder="1" applyAlignment="1">
      <alignment horizontal="center" vertical="center"/>
    </xf>
    <xf numFmtId="0" fontId="0" fillId="0" borderId="8" xfId="0"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178" fontId="0" fillId="0" borderId="34" xfId="0" applyNumberFormat="1" applyFill="1" applyBorder="1" applyAlignment="1">
      <alignment vertical="center"/>
    </xf>
    <xf numFmtId="178" fontId="0" fillId="0" borderId="35" xfId="0" applyNumberFormat="1" applyFill="1" applyBorder="1" applyAlignment="1">
      <alignment vertical="center"/>
    </xf>
    <xf numFmtId="178" fontId="0" fillId="2" borderId="36" xfId="0" applyNumberFormat="1" applyFill="1" applyBorder="1" applyAlignment="1">
      <alignment horizontal="center" vertical="center"/>
    </xf>
    <xf numFmtId="178" fontId="0" fillId="2" borderId="34" xfId="0" applyNumberFormat="1" applyFill="1" applyBorder="1" applyAlignment="1">
      <alignment horizontal="center" vertical="center"/>
    </xf>
    <xf numFmtId="178" fontId="0" fillId="2" borderId="37" xfId="0" applyNumberFormat="1" applyFill="1" applyBorder="1" applyAlignment="1">
      <alignment horizontal="center" vertical="center"/>
    </xf>
    <xf numFmtId="178" fontId="0" fillId="2" borderId="38" xfId="0" applyNumberFormat="1" applyFill="1" applyBorder="1" applyAlignment="1">
      <alignment horizontal="center" vertical="center"/>
    </xf>
    <xf numFmtId="178" fontId="0" fillId="2" borderId="35" xfId="0" applyNumberFormat="1" applyFill="1" applyBorder="1" applyAlignment="1">
      <alignment horizontal="center" vertical="center"/>
    </xf>
    <xf numFmtId="178" fontId="0" fillId="2" borderId="39" xfId="0" applyNumberFormat="1" applyFill="1" applyBorder="1" applyAlignment="1">
      <alignment horizontal="center" vertical="center"/>
    </xf>
    <xf numFmtId="0" fontId="0" fillId="0" borderId="40" xfId="0"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vertical="center"/>
    </xf>
    <xf numFmtId="0" fontId="0" fillId="0" borderId="13" xfId="0" applyBorder="1" applyAlignment="1">
      <alignment vertical="center"/>
    </xf>
    <xf numFmtId="0" fontId="0" fillId="0" borderId="43" xfId="0" applyBorder="1" applyAlignment="1">
      <alignment horizontal="center" vertical="center"/>
    </xf>
    <xf numFmtId="0" fontId="0" fillId="0" borderId="25"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2" borderId="19" xfId="0" applyFill="1" applyBorder="1" applyAlignment="1">
      <alignment vertical="center"/>
    </xf>
    <xf numFmtId="0" fontId="0" fillId="2" borderId="20" xfId="0" applyFill="1" applyBorder="1" applyAlignment="1">
      <alignment vertical="center"/>
    </xf>
    <xf numFmtId="0" fontId="0" fillId="2" borderId="49" xfId="0" applyFill="1" applyBorder="1" applyAlignment="1">
      <alignment vertical="center"/>
    </xf>
    <xf numFmtId="0" fontId="0" fillId="2" borderId="49" xfId="0" applyFill="1" applyBorder="1" applyAlignment="1">
      <alignment horizontal="center" vertical="center"/>
    </xf>
    <xf numFmtId="0" fontId="0" fillId="0" borderId="16" xfId="0" applyNumberFormat="1" applyBorder="1" applyAlignment="1">
      <alignment vertical="center"/>
    </xf>
    <xf numFmtId="0" fontId="0" fillId="0" borderId="50" xfId="0" applyBorder="1" applyAlignment="1">
      <alignment vertical="center"/>
    </xf>
    <xf numFmtId="0" fontId="0" fillId="0" borderId="40" xfId="0" applyBorder="1" applyAlignment="1">
      <alignment vertical="center"/>
    </xf>
    <xf numFmtId="0" fontId="0" fillId="0" borderId="51" xfId="0" applyBorder="1" applyAlignment="1">
      <alignment vertical="center"/>
    </xf>
    <xf numFmtId="0" fontId="0" fillId="2" borderId="14" xfId="0" applyFill="1" applyBorder="1" applyAlignment="1">
      <alignment horizontal="center" vertical="center"/>
    </xf>
    <xf numFmtId="0" fontId="0" fillId="2" borderId="52" xfId="0" applyFill="1" applyBorder="1" applyAlignment="1">
      <alignment vertical="center"/>
    </xf>
    <xf numFmtId="0" fontId="0" fillId="2" borderId="15" xfId="0" applyFill="1" applyBorder="1" applyAlignment="1">
      <alignment vertical="center"/>
    </xf>
    <xf numFmtId="0" fontId="0" fillId="2" borderId="53" xfId="0"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7" xfId="0" applyFill="1" applyBorder="1" applyAlignment="1" applyProtection="1">
      <alignment vertical="center"/>
      <protection locked="0"/>
    </xf>
    <xf numFmtId="0" fontId="0" fillId="5" borderId="54" xfId="0" applyFill="1" applyBorder="1" applyAlignment="1" applyProtection="1">
      <alignment vertical="center"/>
      <protection locked="0"/>
    </xf>
    <xf numFmtId="0" fontId="0" fillId="5" borderId="16" xfId="0" applyFill="1" applyBorder="1" applyAlignment="1" applyProtection="1">
      <alignment vertical="center"/>
      <protection locked="0"/>
    </xf>
    <xf numFmtId="0" fontId="0" fillId="5" borderId="3" xfId="0" applyFill="1" applyBorder="1" applyAlignment="1" applyProtection="1">
      <alignment vertical="center"/>
      <protection locked="0"/>
    </xf>
    <xf numFmtId="0" fontId="0" fillId="5" borderId="1" xfId="0" applyFill="1" applyBorder="1" applyAlignment="1" applyProtection="1">
      <alignment vertical="center"/>
      <protection locked="0"/>
    </xf>
    <xf numFmtId="0" fontId="0" fillId="5" borderId="9" xfId="0" applyFill="1" applyBorder="1" applyAlignment="1" applyProtection="1">
      <alignment vertical="center"/>
      <protection locked="0"/>
    </xf>
    <xf numFmtId="0" fontId="0" fillId="5" borderId="27" xfId="0" applyFill="1" applyBorder="1" applyAlignment="1" applyProtection="1">
      <alignment vertical="center"/>
      <protection locked="0"/>
    </xf>
    <xf numFmtId="0" fontId="0" fillId="5" borderId="26" xfId="0" applyFill="1" applyBorder="1" applyAlignment="1" applyProtection="1">
      <alignment vertical="center"/>
      <protection locked="0"/>
    </xf>
    <xf numFmtId="0" fontId="0" fillId="5" borderId="8" xfId="0" applyFill="1" applyBorder="1" applyAlignment="1" applyProtection="1">
      <alignment vertical="center"/>
      <protection locked="0"/>
    </xf>
    <xf numFmtId="0" fontId="0" fillId="5" borderId="46" xfId="0" applyFill="1" applyBorder="1" applyAlignment="1" applyProtection="1">
      <alignment vertical="center"/>
      <protection locked="0"/>
    </xf>
    <xf numFmtId="0" fontId="0" fillId="5" borderId="18" xfId="0" applyFill="1" applyBorder="1" applyAlignment="1" applyProtection="1">
      <alignment vertical="center"/>
      <protection locked="0"/>
    </xf>
    <xf numFmtId="0" fontId="0" fillId="5" borderId="12" xfId="0" applyFill="1" applyBorder="1" applyAlignment="1" applyProtection="1">
      <alignment vertical="center"/>
      <protection locked="0"/>
    </xf>
    <xf numFmtId="0" fontId="0" fillId="5" borderId="1" xfId="0" applyFill="1" applyBorder="1" applyAlignment="1" applyProtection="1">
      <alignment horizontal="center" vertical="center"/>
      <protection locked="0"/>
    </xf>
    <xf numFmtId="0" fontId="0" fillId="5" borderId="9"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0" borderId="55" xfId="0" applyBorder="1" applyAlignment="1">
      <alignment horizontal="center" vertical="center"/>
    </xf>
    <xf numFmtId="0" fontId="0" fillId="0" borderId="52" xfId="0" applyBorder="1" applyAlignment="1">
      <alignment horizontal="center" vertical="center"/>
    </xf>
    <xf numFmtId="0" fontId="0" fillId="0" borderId="0" xfId="0" applyFill="1" applyBorder="1" applyAlignment="1">
      <alignment horizontal="center" vertical="center" textRotation="255"/>
    </xf>
    <xf numFmtId="0" fontId="0" fillId="0" borderId="0" xfId="0" applyFill="1" applyBorder="1" applyAlignment="1">
      <alignment horizontal="center" vertical="center"/>
    </xf>
    <xf numFmtId="0" fontId="0" fillId="0" borderId="0" xfId="0" applyFill="1" applyBorder="1" applyAlignment="1" applyProtection="1">
      <alignment vertical="center"/>
      <protection locked="0"/>
    </xf>
    <xf numFmtId="0" fontId="0" fillId="0" borderId="0" xfId="0" applyFill="1" applyAlignment="1">
      <alignment vertical="center"/>
    </xf>
    <xf numFmtId="182" fontId="0" fillId="0" borderId="56" xfId="0" applyNumberFormat="1" applyFill="1" applyBorder="1" applyAlignment="1">
      <alignment vertical="center"/>
    </xf>
    <xf numFmtId="0" fontId="0" fillId="0" borderId="50" xfId="0" applyFill="1" applyBorder="1" applyAlignment="1">
      <alignment horizontal="center" vertical="center"/>
    </xf>
    <xf numFmtId="182" fontId="0" fillId="0" borderId="57" xfId="0" applyNumberFormat="1" applyFill="1" applyBorder="1" applyAlignment="1">
      <alignment vertical="center"/>
    </xf>
    <xf numFmtId="0" fontId="0" fillId="5" borderId="54" xfId="0" applyFill="1"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0" fontId="0" fillId="5" borderId="17" xfId="0" applyFill="1" applyBorder="1" applyAlignment="1" applyProtection="1">
      <alignment horizontal="center" vertical="center"/>
      <protection locked="0"/>
    </xf>
    <xf numFmtId="0" fontId="0" fillId="0" borderId="51" xfId="0" applyFill="1" applyBorder="1" applyAlignment="1">
      <alignment horizontal="center" vertical="center"/>
    </xf>
    <xf numFmtId="182" fontId="0" fillId="0" borderId="58" xfId="0" applyNumberFormat="1" applyFill="1" applyBorder="1" applyAlignment="1">
      <alignment vertical="center"/>
    </xf>
    <xf numFmtId="0" fontId="0" fillId="5" borderId="26"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0" fillId="5" borderId="27" xfId="0" applyFill="1" applyBorder="1" applyAlignment="1" applyProtection="1">
      <alignment horizontal="center" vertical="center"/>
      <protection locked="0"/>
    </xf>
    <xf numFmtId="0" fontId="0" fillId="0" borderId="59" xfId="0" applyFill="1" applyBorder="1" applyAlignment="1">
      <alignment horizontal="center" vertical="center"/>
    </xf>
    <xf numFmtId="182" fontId="0" fillId="0" borderId="60" xfId="0" applyNumberFormat="1" applyFill="1" applyBorder="1" applyAlignment="1">
      <alignment horizontal="right" vertical="center"/>
    </xf>
    <xf numFmtId="0" fontId="0" fillId="5" borderId="61"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0" borderId="0" xfId="0"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pplyProtection="1">
      <alignment vertical="center"/>
      <protection locked="0"/>
    </xf>
    <xf numFmtId="0" fontId="0" fillId="2" borderId="54" xfId="0" applyFill="1" applyBorder="1" applyAlignment="1" applyProtection="1">
      <alignment vertical="center"/>
      <protection locked="0"/>
    </xf>
    <xf numFmtId="0" fontId="0" fillId="2" borderId="16" xfId="0" applyFill="1" applyBorder="1" applyAlignment="1" applyProtection="1">
      <alignment vertical="center"/>
      <protection locked="0"/>
    </xf>
    <xf numFmtId="0" fontId="0" fillId="2" borderId="9" xfId="0" applyFill="1" applyBorder="1" applyAlignment="1">
      <alignment horizontal="center" vertical="center"/>
    </xf>
    <xf numFmtId="0" fontId="0" fillId="2" borderId="3" xfId="0"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2" borderId="8" xfId="0" applyFill="1" applyBorder="1" applyAlignment="1">
      <alignment horizontal="center" vertical="center"/>
    </xf>
    <xf numFmtId="0" fontId="0" fillId="2" borderId="27" xfId="0" applyFill="1" applyBorder="1" applyAlignment="1" applyProtection="1">
      <alignment vertical="center"/>
      <protection locked="0"/>
    </xf>
    <xf numFmtId="0" fontId="0" fillId="2" borderId="26" xfId="0"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0" borderId="49" xfId="0" applyFill="1" applyBorder="1" applyAlignment="1">
      <alignment horizontal="center" vertical="center"/>
    </xf>
    <xf numFmtId="0" fontId="0" fillId="0" borderId="20" xfId="0" applyFill="1" applyBorder="1" applyAlignment="1">
      <alignment vertical="center"/>
    </xf>
    <xf numFmtId="0" fontId="0" fillId="0" borderId="49" xfId="0" applyFill="1" applyBorder="1" applyAlignment="1">
      <alignment vertical="center"/>
    </xf>
    <xf numFmtId="0" fontId="0" fillId="0" borderId="54" xfId="0" applyNumberFormat="1" applyBorder="1" applyAlignment="1">
      <alignment vertical="center"/>
    </xf>
    <xf numFmtId="0" fontId="0" fillId="0" borderId="22" xfId="0" applyBorder="1" applyAlignment="1">
      <alignment vertical="center"/>
    </xf>
    <xf numFmtId="0" fontId="0" fillId="0" borderId="43" xfId="0" applyBorder="1" applyAlignment="1">
      <alignment vertical="center"/>
    </xf>
    <xf numFmtId="0" fontId="0" fillId="0" borderId="23" xfId="0" applyFill="1" applyBorder="1" applyAlignment="1">
      <alignment vertical="center"/>
    </xf>
    <xf numFmtId="0" fontId="0" fillId="0" borderId="52"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5" borderId="52" xfId="0" applyFill="1" applyBorder="1" applyAlignment="1" applyProtection="1">
      <alignment horizontal="center" vertical="center"/>
      <protection locked="0"/>
    </xf>
    <xf numFmtId="0" fontId="0" fillId="0" borderId="47" xfId="0" applyBorder="1" applyAlignment="1">
      <alignment horizontal="center"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14" xfId="0" applyFill="1" applyBorder="1" applyAlignment="1">
      <alignment horizontal="center" vertical="center"/>
    </xf>
    <xf numFmtId="0" fontId="0" fillId="0" borderId="15" xfId="0" applyBorder="1" applyAlignment="1">
      <alignment vertical="center"/>
    </xf>
    <xf numFmtId="0" fontId="0" fillId="0" borderId="16"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0" xfId="0" applyBorder="1" applyAlignment="1">
      <alignment vertical="center"/>
    </xf>
    <xf numFmtId="0" fontId="0" fillId="2" borderId="9" xfId="0" applyFill="1" applyBorder="1" applyAlignment="1">
      <alignment vertical="center"/>
    </xf>
    <xf numFmtId="0" fontId="0" fillId="0" borderId="41" xfId="0" applyFill="1" applyBorder="1" applyAlignment="1">
      <alignment horizontal="center" vertical="center"/>
    </xf>
    <xf numFmtId="0" fontId="0" fillId="0" borderId="2"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27" xfId="0" applyBorder="1" applyAlignment="1">
      <alignment vertical="center"/>
    </xf>
    <xf numFmtId="0" fontId="0" fillId="5" borderId="3" xfId="0" applyFill="1" applyBorder="1" applyAlignment="1">
      <alignment vertical="center"/>
    </xf>
    <xf numFmtId="0" fontId="0" fillId="0" borderId="23" xfId="0" applyBorder="1" applyAlignment="1">
      <alignment vertical="center"/>
    </xf>
    <xf numFmtId="0" fontId="0" fillId="0" borderId="49" xfId="0" applyBorder="1" applyAlignment="1">
      <alignment vertical="center"/>
    </xf>
    <xf numFmtId="0" fontId="0" fillId="5" borderId="46"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14"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5" xfId="0" applyFill="1" applyBorder="1" applyAlignment="1">
      <alignment horizontal="center" vertical="center"/>
    </xf>
    <xf numFmtId="0" fontId="0" fillId="0" borderId="16" xfId="0" applyFont="1" applyFill="1" applyBorder="1" applyAlignment="1" applyProtection="1">
      <alignment vertical="center"/>
      <protection/>
    </xf>
    <xf numFmtId="0" fontId="0" fillId="0" borderId="9" xfId="0" applyFont="1" applyFill="1" applyBorder="1" applyAlignment="1" applyProtection="1">
      <alignment vertical="center"/>
      <protection/>
    </xf>
    <xf numFmtId="0" fontId="0" fillId="0" borderId="75" xfId="0" applyFill="1" applyBorder="1" applyAlignment="1">
      <alignment horizontal="center" vertical="center"/>
    </xf>
    <xf numFmtId="0" fontId="0" fillId="0" borderId="76" xfId="0" applyFont="1" applyFill="1" applyBorder="1" applyAlignment="1" applyProtection="1">
      <alignment vertical="center"/>
      <protection/>
    </xf>
    <xf numFmtId="0" fontId="0" fillId="0" borderId="77" xfId="0" applyFill="1" applyBorder="1" applyAlignment="1">
      <alignment horizontal="center" vertical="center"/>
    </xf>
    <xf numFmtId="0" fontId="0" fillId="5" borderId="78" xfId="0" applyFill="1" applyBorder="1" applyAlignment="1" applyProtection="1">
      <alignment vertical="center"/>
      <protection locked="0"/>
    </xf>
    <xf numFmtId="0" fontId="0" fillId="5" borderId="79" xfId="0" applyFill="1" applyBorder="1" applyAlignment="1" applyProtection="1">
      <alignment vertical="center"/>
      <protection locked="0"/>
    </xf>
    <xf numFmtId="0" fontId="0" fillId="5" borderId="80" xfId="0" applyFill="1" applyBorder="1" applyAlignment="1" applyProtection="1">
      <alignment vertical="center"/>
      <protection locked="0"/>
    </xf>
    <xf numFmtId="0" fontId="0" fillId="0" borderId="0" xfId="0" applyBorder="1" applyAlignment="1">
      <alignment horizontal="center" vertical="center" wrapText="1"/>
    </xf>
    <xf numFmtId="0" fontId="0" fillId="0" borderId="50" xfId="0" applyFill="1" applyBorder="1" applyAlignment="1" applyProtection="1">
      <alignment vertical="center"/>
      <protection/>
    </xf>
    <xf numFmtId="0" fontId="0" fillId="0" borderId="40" xfId="0" applyFill="1" applyBorder="1" applyAlignment="1" applyProtection="1">
      <alignment vertical="center"/>
      <protection/>
    </xf>
    <xf numFmtId="0" fontId="0" fillId="0" borderId="51" xfId="0" applyFill="1" applyBorder="1" applyAlignment="1" applyProtection="1">
      <alignment vertical="center"/>
      <protection/>
    </xf>
    <xf numFmtId="0" fontId="0" fillId="2" borderId="81" xfId="0" applyFill="1" applyBorder="1" applyAlignment="1" applyProtection="1">
      <alignment vertical="center"/>
      <protection locked="0"/>
    </xf>
    <xf numFmtId="0" fontId="0" fillId="2" borderId="82" xfId="0" applyFont="1" applyFill="1" applyBorder="1" applyAlignment="1" applyProtection="1">
      <alignment vertical="center"/>
      <protection/>
    </xf>
    <xf numFmtId="0" fontId="0" fillId="2" borderId="71" xfId="0" applyFill="1" applyBorder="1" applyAlignment="1">
      <alignment vertical="center"/>
    </xf>
    <xf numFmtId="0" fontId="0" fillId="0" borderId="17" xfId="0" applyFill="1" applyBorder="1" applyAlignment="1" applyProtection="1">
      <alignment horizontal="center" vertical="center"/>
      <protection/>
    </xf>
    <xf numFmtId="0" fontId="0" fillId="0" borderId="64" xfId="0" applyFill="1" applyBorder="1" applyAlignment="1" applyProtection="1">
      <alignment horizontal="center" vertical="center"/>
      <protection/>
    </xf>
    <xf numFmtId="0" fontId="0" fillId="0" borderId="3" xfId="0" applyFill="1" applyBorder="1" applyAlignment="1" applyProtection="1">
      <alignment horizontal="center" vertical="center"/>
      <protection/>
    </xf>
    <xf numFmtId="0" fontId="0" fillId="0" borderId="65"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66" xfId="0" applyFill="1" applyBorder="1" applyAlignment="1" applyProtection="1">
      <alignment horizontal="center" vertical="center"/>
      <protection/>
    </xf>
    <xf numFmtId="0" fontId="0" fillId="2" borderId="40" xfId="0" applyFill="1" applyBorder="1" applyAlignment="1" applyProtection="1">
      <alignment vertical="center"/>
      <protection/>
    </xf>
    <xf numFmtId="0" fontId="0" fillId="0" borderId="54"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1" xfId="0" applyFill="1" applyBorder="1" applyAlignment="1" applyProtection="1">
      <alignment horizontal="center" vertical="center"/>
      <protection/>
    </xf>
    <xf numFmtId="0" fontId="0" fillId="0" borderId="9"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8" xfId="0" applyFill="1" applyBorder="1" applyAlignment="1" applyProtection="1">
      <alignment horizontal="center" vertical="center"/>
      <protection/>
    </xf>
    <xf numFmtId="0" fontId="0" fillId="2" borderId="48" xfId="0" applyFill="1" applyBorder="1" applyAlignment="1">
      <alignment vertical="center"/>
    </xf>
    <xf numFmtId="0" fontId="0" fillId="2" borderId="13" xfId="0" applyFill="1" applyBorder="1" applyAlignment="1">
      <alignment vertical="center"/>
    </xf>
    <xf numFmtId="0" fontId="0" fillId="2" borderId="41" xfId="0" applyFill="1" applyBorder="1" applyAlignment="1">
      <alignment vertical="center"/>
    </xf>
    <xf numFmtId="0" fontId="0" fillId="0" borderId="57" xfId="0" applyBorder="1" applyAlignment="1">
      <alignment vertical="center"/>
    </xf>
    <xf numFmtId="0" fontId="0" fillId="0" borderId="83" xfId="0" applyBorder="1" applyAlignment="1">
      <alignment horizontal="center" vertical="center"/>
    </xf>
    <xf numFmtId="0" fontId="0" fillId="2" borderId="50" xfId="0" applyFill="1" applyBorder="1" applyAlignment="1">
      <alignment horizontal="center" vertical="center"/>
    </xf>
    <xf numFmtId="0" fontId="0" fillId="0" borderId="40" xfId="0" applyBorder="1" applyAlignment="1">
      <alignment horizontal="center" vertical="center"/>
    </xf>
    <xf numFmtId="0" fontId="0" fillId="2" borderId="51" xfId="0" applyFill="1" applyBorder="1" applyAlignment="1">
      <alignment horizontal="center" vertical="center"/>
    </xf>
    <xf numFmtId="0" fontId="0" fillId="2" borderId="1" xfId="0" applyFill="1" applyBorder="1" applyAlignment="1" applyProtection="1">
      <alignment vertical="center"/>
      <protection/>
    </xf>
    <xf numFmtId="0" fontId="0" fillId="0" borderId="54" xfId="0" applyFill="1" applyBorder="1" applyAlignment="1" applyProtection="1">
      <alignment vertical="center"/>
      <protection/>
    </xf>
    <xf numFmtId="0" fontId="0" fillId="0" borderId="1" xfId="0" applyFill="1" applyBorder="1" applyAlignment="1" applyProtection="1">
      <alignment vertical="center"/>
      <protection/>
    </xf>
    <xf numFmtId="0" fontId="0" fillId="0" borderId="84"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9" xfId="0" applyFill="1" applyBorder="1" applyAlignment="1">
      <alignment horizontal="center" vertical="center"/>
    </xf>
    <xf numFmtId="0" fontId="0" fillId="0" borderId="43" xfId="0" applyFill="1" applyBorder="1" applyAlignment="1">
      <alignment horizontal="center" vertical="center"/>
    </xf>
    <xf numFmtId="0" fontId="0" fillId="0" borderId="16" xfId="0" applyFill="1" applyBorder="1" applyAlignment="1">
      <alignment horizontal="center" vertical="center"/>
    </xf>
    <xf numFmtId="0" fontId="0" fillId="6" borderId="1" xfId="0" applyFill="1" applyBorder="1" applyAlignment="1">
      <alignment vertical="center"/>
    </xf>
    <xf numFmtId="0" fontId="0" fillId="0" borderId="46" xfId="0" applyFill="1" applyBorder="1" applyAlignment="1" applyProtection="1">
      <alignment vertical="center"/>
      <protection/>
    </xf>
    <xf numFmtId="0" fontId="0" fillId="0" borderId="16" xfId="0" applyFill="1" applyBorder="1" applyAlignment="1" applyProtection="1">
      <alignment vertical="center"/>
      <protection/>
    </xf>
    <xf numFmtId="0" fontId="0" fillId="0" borderId="18" xfId="0" applyFill="1" applyBorder="1" applyAlignment="1" applyProtection="1">
      <alignment vertical="center"/>
      <protection/>
    </xf>
    <xf numFmtId="0" fontId="0" fillId="0" borderId="9" xfId="0" applyFill="1" applyBorder="1" applyAlignment="1" applyProtection="1">
      <alignment vertical="center"/>
      <protection/>
    </xf>
    <xf numFmtId="0" fontId="0" fillId="0" borderId="12" xfId="0" applyFill="1" applyBorder="1" applyAlignment="1" applyProtection="1">
      <alignment vertical="center"/>
      <protection/>
    </xf>
    <xf numFmtId="0" fontId="0" fillId="0" borderId="26" xfId="0" applyFill="1" applyBorder="1" applyAlignment="1" applyProtection="1">
      <alignment vertical="center"/>
      <protection/>
    </xf>
    <xf numFmtId="0" fontId="0" fillId="0" borderId="8" xfId="0" applyFill="1" applyBorder="1" applyAlignment="1" applyProtection="1">
      <alignment vertical="center"/>
      <protection/>
    </xf>
    <xf numFmtId="0" fontId="0" fillId="2" borderId="18" xfId="0" applyFill="1" applyBorder="1" applyAlignment="1" applyProtection="1">
      <alignment vertical="center"/>
      <protection/>
    </xf>
    <xf numFmtId="0" fontId="0" fillId="2" borderId="9" xfId="0" applyFill="1" applyBorder="1" applyAlignment="1" applyProtection="1">
      <alignment vertical="center"/>
      <protection/>
    </xf>
    <xf numFmtId="0" fontId="0" fillId="0" borderId="46" xfId="0" applyFill="1" applyBorder="1" applyAlignment="1">
      <alignment vertical="center"/>
    </xf>
    <xf numFmtId="0" fontId="0" fillId="6" borderId="54" xfId="0" applyFill="1" applyBorder="1" applyAlignment="1">
      <alignment vertical="center"/>
    </xf>
    <xf numFmtId="0" fontId="0" fillId="0" borderId="18" xfId="0" applyFill="1" applyBorder="1" applyAlignment="1">
      <alignment vertical="center"/>
    </xf>
    <xf numFmtId="0" fontId="0" fillId="0" borderId="12" xfId="0" applyFill="1" applyBorder="1" applyAlignment="1">
      <alignment vertical="center"/>
    </xf>
    <xf numFmtId="0" fontId="0" fillId="6" borderId="26" xfId="0" applyFill="1" applyBorder="1" applyAlignment="1">
      <alignment vertical="center"/>
    </xf>
    <xf numFmtId="0" fontId="6" fillId="0" borderId="13" xfId="0" applyFont="1" applyBorder="1" applyAlignment="1">
      <alignment horizontal="center" vertical="center"/>
    </xf>
    <xf numFmtId="0" fontId="0" fillId="2" borderId="16" xfId="0" applyFill="1" applyBorder="1" applyAlignment="1">
      <alignment vertical="center"/>
    </xf>
    <xf numFmtId="0" fontId="0" fillId="2" borderId="8" xfId="0" applyFill="1" applyBorder="1" applyAlignment="1">
      <alignment vertical="center"/>
    </xf>
    <xf numFmtId="0" fontId="0" fillId="6" borderId="46" xfId="0" applyFill="1" applyBorder="1" applyAlignment="1">
      <alignment vertical="center"/>
    </xf>
    <xf numFmtId="0" fontId="0" fillId="6" borderId="18" xfId="0" applyFill="1" applyBorder="1" applyAlignment="1">
      <alignment vertical="center"/>
    </xf>
    <xf numFmtId="0" fontId="0" fillId="0" borderId="46" xfId="0" applyBorder="1" applyAlignment="1">
      <alignment horizontal="center" vertical="center"/>
    </xf>
    <xf numFmtId="0" fontId="0" fillId="0" borderId="47" xfId="0" applyBorder="1" applyAlignment="1">
      <alignment horizontal="left" vertical="center"/>
    </xf>
    <xf numFmtId="0" fontId="0" fillId="0" borderId="18" xfId="0" applyFill="1" applyBorder="1" applyAlignment="1">
      <alignment horizontal="center" vertical="center"/>
    </xf>
    <xf numFmtId="0" fontId="0" fillId="0" borderId="18" xfId="0" applyBorder="1" applyAlignment="1">
      <alignment horizontal="center" vertical="center"/>
    </xf>
    <xf numFmtId="0" fontId="0" fillId="6" borderId="12" xfId="0" applyFill="1" applyBorder="1" applyAlignment="1">
      <alignment vertical="center"/>
    </xf>
    <xf numFmtId="0" fontId="0" fillId="7" borderId="26" xfId="0" applyFill="1" applyBorder="1" applyAlignment="1" applyProtection="1">
      <alignment vertical="center"/>
      <protection locked="0"/>
    </xf>
    <xf numFmtId="0" fontId="0" fillId="7" borderId="54" xfId="0" applyFill="1" applyBorder="1" applyAlignment="1" applyProtection="1">
      <alignment vertical="center"/>
      <protection locked="0"/>
    </xf>
    <xf numFmtId="0" fontId="0" fillId="7" borderId="1" xfId="0" applyFill="1" applyBorder="1" applyAlignment="1" applyProtection="1">
      <alignment vertical="center"/>
      <protection locked="0"/>
    </xf>
    <xf numFmtId="0" fontId="0" fillId="0" borderId="9" xfId="0" applyBorder="1" applyAlignment="1">
      <alignment/>
    </xf>
    <xf numFmtId="0" fontId="0" fillId="0" borderId="8" xfId="0" applyBorder="1" applyAlignment="1">
      <alignment/>
    </xf>
    <xf numFmtId="0" fontId="0" fillId="0" borderId="82" xfId="0" applyBorder="1" applyAlignment="1">
      <alignment/>
    </xf>
    <xf numFmtId="0" fontId="0" fillId="0" borderId="14" xfId="0" applyBorder="1" applyAlignment="1">
      <alignment horizontal="center"/>
    </xf>
    <xf numFmtId="0" fontId="0" fillId="0" borderId="15" xfId="0" applyBorder="1" applyAlignment="1">
      <alignment horizontal="center"/>
    </xf>
    <xf numFmtId="0" fontId="0" fillId="0" borderId="81" xfId="0" applyBorder="1" applyAlignment="1">
      <alignment/>
    </xf>
    <xf numFmtId="0" fontId="0" fillId="0" borderId="3" xfId="0" applyBorder="1" applyAlignment="1">
      <alignment/>
    </xf>
    <xf numFmtId="0" fontId="0" fillId="0" borderId="27" xfId="0" applyBorder="1" applyAlignment="1">
      <alignment/>
    </xf>
    <xf numFmtId="0" fontId="0" fillId="0" borderId="85" xfId="0" applyBorder="1" applyAlignment="1">
      <alignment/>
    </xf>
    <xf numFmtId="0" fontId="0" fillId="0" borderId="13" xfId="0" applyFont="1" applyBorder="1" applyAlignment="1">
      <alignment horizontal="center" vertical="center"/>
    </xf>
    <xf numFmtId="0" fontId="0" fillId="0" borderId="86" xfId="0" applyBorder="1" applyAlignment="1">
      <alignment horizontal="center" vertical="center"/>
    </xf>
    <xf numFmtId="0" fontId="0" fillId="0" borderId="86" xfId="0" applyFill="1" applyBorder="1" applyAlignment="1">
      <alignment vertical="center" textRotation="255" wrapText="1"/>
    </xf>
    <xf numFmtId="0" fontId="13" fillId="8" borderId="86" xfId="0" applyFont="1" applyFill="1" applyBorder="1" applyAlignment="1">
      <alignment horizontal="left" vertical="center"/>
    </xf>
    <xf numFmtId="0" fontId="0" fillId="0" borderId="55" xfId="0" applyFill="1" applyBorder="1" applyAlignment="1" applyProtection="1">
      <alignment vertical="center"/>
      <protection locked="0"/>
    </xf>
    <xf numFmtId="0" fontId="0" fillId="0" borderId="18"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87" xfId="0" applyFill="1" applyBorder="1" applyAlignment="1">
      <alignment horizontal="center" vertical="center"/>
    </xf>
    <xf numFmtId="0" fontId="0" fillId="2" borderId="88" xfId="0" applyFill="1" applyBorder="1" applyAlignment="1" applyProtection="1">
      <alignment vertical="center"/>
      <protection locked="0"/>
    </xf>
    <xf numFmtId="0" fontId="0" fillId="2" borderId="89" xfId="0" applyFont="1" applyFill="1" applyBorder="1" applyAlignment="1" applyProtection="1">
      <alignment vertical="center"/>
      <protection/>
    </xf>
    <xf numFmtId="0" fontId="0" fillId="5" borderId="90" xfId="0" applyFill="1" applyBorder="1" applyAlignment="1" applyProtection="1">
      <alignment vertical="center"/>
      <protection locked="0"/>
    </xf>
    <xf numFmtId="0" fontId="0" fillId="5" borderId="91" xfId="0" applyFill="1" applyBorder="1" applyAlignment="1" applyProtection="1">
      <alignment vertical="center"/>
      <protection locked="0"/>
    </xf>
    <xf numFmtId="0" fontId="0" fillId="5" borderId="92" xfId="0" applyFill="1" applyBorder="1" applyAlignment="1" applyProtection="1">
      <alignment vertical="center"/>
      <protection locked="0"/>
    </xf>
    <xf numFmtId="0" fontId="0" fillId="5" borderId="93" xfId="0" applyFill="1" applyBorder="1" applyAlignment="1" applyProtection="1">
      <alignment vertical="center"/>
      <protection locked="0"/>
    </xf>
    <xf numFmtId="0" fontId="0" fillId="0" borderId="94" xfId="0" applyFill="1" applyBorder="1" applyAlignment="1" applyProtection="1">
      <alignment vertical="center"/>
      <protection/>
    </xf>
    <xf numFmtId="0" fontId="0" fillId="0" borderId="55" xfId="0" applyFill="1" applyBorder="1" applyAlignment="1" applyProtection="1">
      <alignment vertical="center"/>
      <protection/>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Fill="1" applyBorder="1" applyAlignment="1">
      <alignment vertical="center"/>
    </xf>
    <xf numFmtId="182" fontId="0" fillId="2" borderId="46" xfId="0" applyNumberFormat="1" applyFill="1" applyBorder="1" applyAlignment="1" applyProtection="1">
      <alignment horizontal="center" vertical="center"/>
      <protection locked="0"/>
    </xf>
    <xf numFmtId="0" fontId="0" fillId="2" borderId="54"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182" fontId="0" fillId="2" borderId="18"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182" fontId="0" fillId="2" borderId="12" xfId="0" applyNumberFormat="1"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183" fontId="0" fillId="5" borderId="47" xfId="0" applyNumberFormat="1" applyFill="1" applyBorder="1" applyAlignment="1">
      <alignment horizontal="center" vertical="center"/>
    </xf>
    <xf numFmtId="0" fontId="0" fillId="0" borderId="46" xfId="0" applyFill="1" applyBorder="1" applyAlignment="1" applyProtection="1">
      <alignment horizontal="center" vertical="center"/>
      <protection/>
    </xf>
    <xf numFmtId="0" fontId="0" fillId="0" borderId="88" xfId="0" applyBorder="1" applyAlignment="1">
      <alignment vertical="center"/>
    </xf>
    <xf numFmtId="0" fontId="0" fillId="5" borderId="52" xfId="0" applyFill="1" applyBorder="1" applyAlignment="1">
      <alignment vertical="center"/>
    </xf>
    <xf numFmtId="0" fontId="0" fillId="5" borderId="13" xfId="0" applyFill="1" applyBorder="1" applyAlignment="1">
      <alignment vertical="center"/>
    </xf>
    <xf numFmtId="0" fontId="0" fillId="5" borderId="14" xfId="0" applyFill="1" applyBorder="1" applyAlignment="1">
      <alignment vertical="center"/>
    </xf>
    <xf numFmtId="0" fontId="0" fillId="0" borderId="72" xfId="0" applyBorder="1" applyAlignment="1">
      <alignment horizontal="center" vertical="center"/>
    </xf>
    <xf numFmtId="0" fontId="0" fillId="0" borderId="95" xfId="0" applyBorder="1" applyAlignment="1">
      <alignment horizontal="center" vertical="center"/>
    </xf>
    <xf numFmtId="0" fontId="0" fillId="5" borderId="46" xfId="0" applyFill="1" applyBorder="1" applyAlignment="1">
      <alignment vertical="center"/>
    </xf>
    <xf numFmtId="0" fontId="0" fillId="5" borderId="54" xfId="0" applyFill="1" applyBorder="1" applyAlignment="1">
      <alignment vertical="center"/>
    </xf>
    <xf numFmtId="0" fontId="0" fillId="5" borderId="16" xfId="0" applyFill="1" applyBorder="1" applyAlignment="1">
      <alignment vertical="center"/>
    </xf>
    <xf numFmtId="0" fontId="0" fillId="0" borderId="12" xfId="0" applyBorder="1" applyAlignment="1">
      <alignment vertical="center"/>
    </xf>
    <xf numFmtId="0" fontId="0" fillId="0" borderId="26" xfId="0" applyBorder="1" applyAlignment="1">
      <alignment vertical="center"/>
    </xf>
    <xf numFmtId="0" fontId="0" fillId="0" borderId="94" xfId="0" applyFill="1" applyBorder="1" applyAlignment="1">
      <alignment vertical="center"/>
    </xf>
    <xf numFmtId="0" fontId="0" fillId="0" borderId="84" xfId="0" applyFill="1" applyBorder="1" applyAlignment="1">
      <alignment vertical="center"/>
    </xf>
    <xf numFmtId="0" fontId="0" fillId="0" borderId="55" xfId="0" applyFill="1" applyBorder="1" applyAlignment="1">
      <alignment vertical="center"/>
    </xf>
    <xf numFmtId="0" fontId="0" fillId="0" borderId="54" xfId="0" applyFill="1" applyBorder="1" applyAlignment="1">
      <alignment vertical="center"/>
    </xf>
    <xf numFmtId="0" fontId="0" fillId="0" borderId="16" xfId="0" applyFill="1" applyBorder="1" applyAlignment="1">
      <alignment vertical="center"/>
    </xf>
    <xf numFmtId="0" fontId="0" fillId="2" borderId="12" xfId="0" applyFill="1" applyBorder="1" applyAlignment="1">
      <alignment vertical="center"/>
    </xf>
    <xf numFmtId="0" fontId="0" fillId="2" borderId="26" xfId="0" applyFill="1" applyBorder="1" applyAlignment="1">
      <alignment vertical="center"/>
    </xf>
    <xf numFmtId="0" fontId="0" fillId="2" borderId="14" xfId="0" applyFill="1" applyBorder="1" applyAlignment="1">
      <alignment vertical="center"/>
    </xf>
    <xf numFmtId="0" fontId="0" fillId="0" borderId="54" xfId="0" applyBorder="1" applyAlignment="1">
      <alignment vertical="center"/>
    </xf>
    <xf numFmtId="0" fontId="0" fillId="2" borderId="17" xfId="0" applyFill="1" applyBorder="1" applyAlignment="1">
      <alignment vertical="center"/>
    </xf>
    <xf numFmtId="0" fontId="0" fillId="2" borderId="54" xfId="0" applyFill="1" applyBorder="1" applyAlignment="1">
      <alignment vertical="center"/>
    </xf>
    <xf numFmtId="0" fontId="0" fillId="0" borderId="0" xfId="0" applyFill="1" applyAlignment="1">
      <alignment horizontal="center" vertical="center" textRotation="255" wrapText="1"/>
    </xf>
    <xf numFmtId="0" fontId="0" fillId="8" borderId="42" xfId="0" applyFill="1" applyBorder="1" applyAlignment="1">
      <alignment horizontal="center" vertical="center" textRotation="255" wrapText="1"/>
    </xf>
    <xf numFmtId="0" fontId="0" fillId="8" borderId="47" xfId="0" applyFill="1" applyBorder="1" applyAlignment="1">
      <alignment horizontal="center" vertical="center" textRotation="255" wrapText="1"/>
    </xf>
    <xf numFmtId="178" fontId="0" fillId="2" borderId="96" xfId="0" applyNumberFormat="1" applyFill="1" applyBorder="1" applyAlignment="1">
      <alignment horizontal="center" vertical="center"/>
    </xf>
    <xf numFmtId="178" fontId="0" fillId="2" borderId="97" xfId="0" applyNumberFormat="1" applyFill="1" applyBorder="1" applyAlignment="1">
      <alignment horizontal="center" vertical="center"/>
    </xf>
    <xf numFmtId="0" fontId="0" fillId="5" borderId="18" xfId="0" applyFill="1" applyBorder="1" applyAlignment="1">
      <alignment vertical="center"/>
    </xf>
    <xf numFmtId="0" fontId="0" fillId="5" borderId="9" xfId="0" applyFill="1" applyBorder="1" applyAlignment="1">
      <alignment vertical="center"/>
    </xf>
    <xf numFmtId="0" fontId="0" fillId="5" borderId="12" xfId="0" applyFill="1" applyBorder="1" applyAlignment="1">
      <alignment vertical="center"/>
    </xf>
    <xf numFmtId="0" fontId="0" fillId="5" borderId="8" xfId="0" applyFill="1" applyBorder="1" applyAlignment="1">
      <alignment vertical="center"/>
    </xf>
    <xf numFmtId="0" fontId="0" fillId="5" borderId="98" xfId="0" applyFill="1" applyBorder="1" applyAlignment="1">
      <alignment vertical="center"/>
    </xf>
    <xf numFmtId="0" fontId="0" fillId="5" borderId="82" xfId="0" applyFill="1" applyBorder="1" applyAlignment="1">
      <alignment vertical="center"/>
    </xf>
    <xf numFmtId="182" fontId="0" fillId="0" borderId="50" xfId="0" applyNumberFormat="1" applyFill="1" applyBorder="1" applyAlignment="1">
      <alignment vertical="center"/>
    </xf>
    <xf numFmtId="182" fontId="0" fillId="0" borderId="40" xfId="0" applyNumberFormat="1" applyFill="1" applyBorder="1" applyAlignment="1">
      <alignment vertical="center"/>
    </xf>
    <xf numFmtId="182" fontId="0" fillId="0" borderId="51" xfId="0" applyNumberFormat="1" applyFill="1" applyBorder="1" applyAlignment="1">
      <alignment vertical="center"/>
    </xf>
    <xf numFmtId="182" fontId="0" fillId="0" borderId="59" xfId="0" applyNumberFormat="1" applyFill="1" applyBorder="1" applyAlignment="1">
      <alignment vertical="center"/>
    </xf>
    <xf numFmtId="0" fontId="0" fillId="2" borderId="17"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182" fontId="0" fillId="2" borderId="50" xfId="0" applyNumberFormat="1" applyFill="1" applyBorder="1" applyAlignment="1" applyProtection="1">
      <alignment horizontal="center" vertical="center"/>
      <protection locked="0"/>
    </xf>
    <xf numFmtId="182" fontId="0" fillId="2" borderId="40" xfId="0" applyNumberFormat="1" applyFill="1" applyBorder="1" applyAlignment="1" applyProtection="1">
      <alignment horizontal="center" vertical="center"/>
      <protection locked="0"/>
    </xf>
    <xf numFmtId="182" fontId="0" fillId="2" borderId="51" xfId="0" applyNumberFormat="1" applyFill="1" applyBorder="1" applyAlignment="1" applyProtection="1">
      <alignment horizontal="center" vertical="center"/>
      <protection locked="0"/>
    </xf>
    <xf numFmtId="0" fontId="0" fillId="5" borderId="99" xfId="0" applyFill="1" applyBorder="1" applyAlignment="1" applyProtection="1">
      <alignment horizontal="center" vertical="center"/>
      <protection locked="0"/>
    </xf>
    <xf numFmtId="182" fontId="0" fillId="0" borderId="50" xfId="0" applyNumberFormat="1" applyFill="1" applyBorder="1" applyAlignment="1" applyProtection="1">
      <alignment horizontal="center" vertical="center"/>
      <protection/>
    </xf>
    <xf numFmtId="182" fontId="0" fillId="0" borderId="40" xfId="0" applyNumberFormat="1" applyFill="1" applyBorder="1" applyAlignment="1" applyProtection="1">
      <alignment horizontal="center" vertical="center"/>
      <protection/>
    </xf>
    <xf numFmtId="182" fontId="0" fillId="0" borderId="59" xfId="0" applyNumberFormat="1" applyFill="1" applyBorder="1" applyAlignment="1" applyProtection="1">
      <alignment horizontal="center" vertical="center"/>
      <protection/>
    </xf>
    <xf numFmtId="0" fontId="0" fillId="2" borderId="62" xfId="0" applyFill="1" applyBorder="1" applyAlignment="1" applyProtection="1">
      <alignment horizontal="center" vertical="center"/>
      <protection locked="0"/>
    </xf>
    <xf numFmtId="0" fontId="0" fillId="5" borderId="46" xfId="0" applyFill="1" applyBorder="1" applyAlignment="1" applyProtection="1">
      <alignment horizontal="center" vertical="center"/>
      <protection/>
    </xf>
    <xf numFmtId="0" fontId="0" fillId="5" borderId="54" xfId="0" applyFill="1" applyBorder="1" applyAlignment="1" applyProtection="1">
      <alignment horizontal="center" vertical="center"/>
      <protection/>
    </xf>
    <xf numFmtId="0" fontId="0" fillId="2" borderId="16" xfId="0" applyFill="1" applyBorder="1" applyAlignment="1" applyProtection="1">
      <alignment horizontal="center" vertical="center"/>
      <protection/>
    </xf>
    <xf numFmtId="0" fontId="0" fillId="5" borderId="18" xfId="0" applyFill="1" applyBorder="1" applyAlignment="1" applyProtection="1">
      <alignment horizontal="center" vertical="center"/>
      <protection/>
    </xf>
    <xf numFmtId="0" fontId="0" fillId="5" borderId="1" xfId="0" applyFill="1" applyBorder="1" applyAlignment="1" applyProtection="1">
      <alignment horizontal="center" vertical="center"/>
      <protection/>
    </xf>
    <xf numFmtId="0" fontId="0" fillId="2" borderId="9" xfId="0" applyFill="1" applyBorder="1" applyAlignment="1" applyProtection="1">
      <alignment horizontal="center" vertical="center"/>
      <protection/>
    </xf>
    <xf numFmtId="0" fontId="0" fillId="5" borderId="9" xfId="0" applyFill="1" applyBorder="1" applyAlignment="1" applyProtection="1">
      <alignment horizontal="center" vertical="center"/>
      <protection/>
    </xf>
    <xf numFmtId="0" fontId="0" fillId="5" borderId="99" xfId="0" applyFill="1" applyBorder="1" applyAlignment="1" applyProtection="1">
      <alignment horizontal="center" vertical="center"/>
      <protection/>
    </xf>
    <xf numFmtId="0" fontId="0" fillId="5" borderId="61" xfId="0" applyFill="1" applyBorder="1" applyAlignment="1" applyProtection="1">
      <alignment horizontal="center" vertical="center"/>
      <protection/>
    </xf>
    <xf numFmtId="0" fontId="0" fillId="2" borderId="62" xfId="0" applyFill="1" applyBorder="1" applyAlignment="1" applyProtection="1">
      <alignment horizontal="center" vertical="center"/>
      <protection/>
    </xf>
    <xf numFmtId="0" fontId="0" fillId="9" borderId="4" xfId="0" applyFill="1" applyBorder="1" applyAlignment="1">
      <alignment/>
    </xf>
    <xf numFmtId="0" fontId="0" fillId="9" borderId="21" xfId="0" applyFill="1" applyBorder="1" applyAlignment="1">
      <alignment/>
    </xf>
    <xf numFmtId="0" fontId="0" fillId="0" borderId="67" xfId="0" applyBorder="1" applyAlignment="1">
      <alignment/>
    </xf>
    <xf numFmtId="0" fontId="0" fillId="0" borderId="100" xfId="0" applyBorder="1" applyAlignment="1">
      <alignment/>
    </xf>
    <xf numFmtId="0" fontId="0" fillId="0" borderId="101" xfId="0" applyBorder="1" applyAlignment="1">
      <alignment/>
    </xf>
    <xf numFmtId="0" fontId="0" fillId="10" borderId="67" xfId="0" applyFill="1" applyBorder="1" applyAlignment="1">
      <alignment/>
    </xf>
    <xf numFmtId="0" fontId="0" fillId="10" borderId="100" xfId="0" applyFill="1" applyBorder="1" applyAlignment="1">
      <alignment/>
    </xf>
    <xf numFmtId="0" fontId="0" fillId="10" borderId="101" xfId="0" applyFill="1" applyBorder="1" applyAlignment="1">
      <alignment/>
    </xf>
    <xf numFmtId="0" fontId="0" fillId="10" borderId="81" xfId="0" applyFill="1" applyBorder="1" applyAlignment="1">
      <alignment/>
    </xf>
    <xf numFmtId="49" fontId="2" fillId="11" borderId="67" xfId="0" applyNumberFormat="1" applyFont="1" applyFill="1" applyBorder="1" applyAlignment="1">
      <alignment vertical="center"/>
    </xf>
    <xf numFmtId="0" fontId="0" fillId="11" borderId="100" xfId="0" applyFill="1" applyBorder="1" applyAlignment="1">
      <alignment/>
    </xf>
    <xf numFmtId="0" fontId="0" fillId="11" borderId="67" xfId="0" applyFill="1" applyBorder="1" applyAlignment="1">
      <alignment/>
    </xf>
    <xf numFmtId="49" fontId="2" fillId="11" borderId="101" xfId="0" applyNumberFormat="1" applyFont="1" applyFill="1" applyBorder="1" applyAlignment="1">
      <alignment vertical="center"/>
    </xf>
    <xf numFmtId="0" fontId="0" fillId="11" borderId="81" xfId="0" applyFill="1" applyBorder="1" applyAlignment="1">
      <alignment/>
    </xf>
    <xf numFmtId="0" fontId="0" fillId="11" borderId="101" xfId="0" applyFill="1" applyBorder="1" applyAlignment="1">
      <alignment/>
    </xf>
    <xf numFmtId="0" fontId="0" fillId="11" borderId="84" xfId="0" applyFill="1" applyBorder="1" applyAlignment="1">
      <alignment/>
    </xf>
    <xf numFmtId="0" fontId="0" fillId="11" borderId="21" xfId="0" applyFill="1" applyBorder="1" applyAlignment="1">
      <alignment/>
    </xf>
    <xf numFmtId="0" fontId="0" fillId="2" borderId="67" xfId="0" applyFill="1" applyBorder="1" applyAlignment="1">
      <alignment/>
    </xf>
    <xf numFmtId="0" fontId="0" fillId="2" borderId="101" xfId="0" applyFill="1" applyBorder="1" applyAlignment="1">
      <alignment/>
    </xf>
    <xf numFmtId="0" fontId="0" fillId="2" borderId="81" xfId="0" applyFill="1" applyBorder="1" applyAlignment="1">
      <alignment/>
    </xf>
    <xf numFmtId="0" fontId="0" fillId="11" borderId="87" xfId="0" applyFill="1" applyBorder="1" applyAlignment="1">
      <alignment/>
    </xf>
    <xf numFmtId="0" fontId="0" fillId="0" borderId="102" xfId="0" applyBorder="1" applyAlignment="1">
      <alignment/>
    </xf>
    <xf numFmtId="0" fontId="0" fillId="0" borderId="103" xfId="0" applyBorder="1" applyAlignment="1">
      <alignment/>
    </xf>
    <xf numFmtId="0" fontId="0" fillId="0" borderId="88" xfId="0" applyBorder="1" applyAlignment="1">
      <alignment/>
    </xf>
    <xf numFmtId="49" fontId="2" fillId="2" borderId="100" xfId="0" applyNumberFormat="1" applyFont="1" applyFill="1" applyBorder="1" applyAlignment="1">
      <alignment horizontal="left" vertical="top"/>
    </xf>
    <xf numFmtId="49" fontId="2" fillId="12" borderId="67" xfId="0" applyNumberFormat="1" applyFont="1" applyFill="1" applyBorder="1" applyAlignment="1">
      <alignment vertical="center"/>
    </xf>
    <xf numFmtId="49" fontId="2" fillId="12" borderId="100" xfId="0" applyNumberFormat="1" applyFont="1" applyFill="1" applyBorder="1" applyAlignment="1">
      <alignment vertical="center"/>
    </xf>
    <xf numFmtId="49" fontId="2" fillId="12" borderId="101" xfId="0" applyNumberFormat="1" applyFont="1" applyFill="1" applyBorder="1" applyAlignment="1">
      <alignment vertical="center"/>
    </xf>
    <xf numFmtId="49" fontId="2" fillId="12" borderId="81" xfId="0" applyNumberFormat="1" applyFont="1" applyFill="1" applyBorder="1" applyAlignment="1">
      <alignment vertical="center"/>
    </xf>
    <xf numFmtId="49" fontId="2" fillId="12" borderId="88" xfId="0" applyNumberFormat="1" applyFont="1" applyFill="1" applyBorder="1" applyAlignment="1">
      <alignment vertical="center"/>
    </xf>
    <xf numFmtId="0" fontId="1" fillId="10" borderId="100" xfId="0" applyFont="1" applyFill="1" applyBorder="1" applyAlignment="1">
      <alignment horizontal="right" vertical="top"/>
    </xf>
    <xf numFmtId="0" fontId="0" fillId="0" borderId="67" xfId="0" applyBorder="1" applyAlignment="1">
      <alignment horizontal="right" vertical="top"/>
    </xf>
    <xf numFmtId="0" fontId="0" fillId="0" borderId="100" xfId="0" applyBorder="1" applyAlignment="1">
      <alignment horizontal="right" vertical="top"/>
    </xf>
    <xf numFmtId="0" fontId="0" fillId="0" borderId="101" xfId="0" applyBorder="1" applyAlignment="1">
      <alignment horizontal="right" vertical="top"/>
    </xf>
    <xf numFmtId="0" fontId="0" fillId="0" borderId="81" xfId="0" applyBorder="1" applyAlignment="1">
      <alignment horizontal="right" vertical="top"/>
    </xf>
    <xf numFmtId="0" fontId="0" fillId="10" borderId="100" xfId="0" applyFill="1" applyBorder="1" applyAlignment="1">
      <alignment horizontal="right" vertical="top"/>
    </xf>
    <xf numFmtId="0" fontId="0" fillId="10" borderId="101" xfId="0" applyFill="1" applyBorder="1" applyAlignment="1">
      <alignment horizontal="right" vertical="top"/>
    </xf>
    <xf numFmtId="0" fontId="0" fillId="10" borderId="81" xfId="0" applyFill="1" applyBorder="1" applyAlignment="1">
      <alignment horizontal="right" vertical="top"/>
    </xf>
    <xf numFmtId="0" fontId="1" fillId="0" borderId="100" xfId="0" applyFont="1" applyBorder="1" applyAlignment="1">
      <alignment horizontal="right" vertical="top"/>
    </xf>
    <xf numFmtId="0" fontId="1" fillId="0" borderId="67" xfId="0" applyFont="1" applyBorder="1" applyAlignment="1">
      <alignment horizontal="right" vertical="top"/>
    </xf>
    <xf numFmtId="0" fontId="1" fillId="0" borderId="102" xfId="0" applyFont="1" applyBorder="1" applyAlignment="1">
      <alignment horizontal="right" vertical="top"/>
    </xf>
    <xf numFmtId="0" fontId="1" fillId="0" borderId="101" xfId="0" applyFont="1" applyBorder="1" applyAlignment="1">
      <alignment horizontal="right" vertical="top"/>
    </xf>
    <xf numFmtId="0" fontId="1" fillId="0" borderId="81" xfId="0" applyFont="1" applyBorder="1" applyAlignment="1">
      <alignment horizontal="right" vertical="top"/>
    </xf>
    <xf numFmtId="0" fontId="1" fillId="0" borderId="103" xfId="0" applyFont="1" applyBorder="1" applyAlignment="1">
      <alignment horizontal="right" vertical="top"/>
    </xf>
    <xf numFmtId="0" fontId="1" fillId="10" borderId="67" xfId="0" applyFont="1" applyFill="1" applyBorder="1" applyAlignment="1">
      <alignment horizontal="right" vertical="top"/>
    </xf>
    <xf numFmtId="0" fontId="1" fillId="10" borderId="101" xfId="0" applyFont="1" applyFill="1" applyBorder="1" applyAlignment="1">
      <alignment horizontal="right" vertical="top"/>
    </xf>
    <xf numFmtId="0" fontId="1" fillId="10" borderId="81" xfId="0" applyFont="1" applyFill="1" applyBorder="1" applyAlignment="1">
      <alignment horizontal="right" vertical="top"/>
    </xf>
    <xf numFmtId="0" fontId="1" fillId="0" borderId="67" xfId="0" applyFont="1" applyBorder="1" applyAlignment="1">
      <alignment horizontal="left" vertical="top"/>
    </xf>
    <xf numFmtId="0" fontId="1" fillId="10" borderId="67" xfId="0" applyFont="1" applyFill="1" applyBorder="1" applyAlignment="1">
      <alignment horizontal="left" vertical="top"/>
    </xf>
    <xf numFmtId="0" fontId="0" fillId="2" borderId="67" xfId="0" applyFill="1" applyBorder="1" applyAlignment="1">
      <alignment horizontal="right" vertical="top"/>
    </xf>
    <xf numFmtId="0" fontId="0" fillId="2" borderId="101" xfId="0" applyFill="1" applyBorder="1" applyAlignment="1">
      <alignment horizontal="right" vertical="top"/>
    </xf>
    <xf numFmtId="0" fontId="0" fillId="2" borderId="100" xfId="0" applyFill="1" applyBorder="1" applyAlignment="1">
      <alignment horizontal="right" vertical="top"/>
    </xf>
    <xf numFmtId="0" fontId="0" fillId="2" borderId="81" xfId="0" applyFill="1" applyBorder="1" applyAlignment="1">
      <alignment horizontal="right" vertical="top"/>
    </xf>
    <xf numFmtId="0" fontId="1" fillId="10" borderId="81" xfId="0" applyFont="1" applyFill="1" applyBorder="1" applyAlignment="1">
      <alignment horizontal="center"/>
    </xf>
    <xf numFmtId="0" fontId="1" fillId="0" borderId="104" xfId="0" applyFont="1" applyBorder="1" applyAlignment="1">
      <alignment horizontal="right" vertical="top"/>
    </xf>
    <xf numFmtId="0" fontId="1" fillId="0" borderId="105" xfId="0" applyFont="1" applyBorder="1" applyAlignment="1">
      <alignment horizontal="right" vertical="top"/>
    </xf>
    <xf numFmtId="0" fontId="1" fillId="0" borderId="106" xfId="0" applyFont="1" applyBorder="1" applyAlignment="1">
      <alignment horizontal="right" vertical="top"/>
    </xf>
    <xf numFmtId="0" fontId="1" fillId="0" borderId="107" xfId="0" applyFont="1" applyBorder="1" applyAlignment="1">
      <alignment horizontal="right" vertical="top"/>
    </xf>
    <xf numFmtId="0" fontId="0" fillId="0" borderId="108" xfId="0" applyBorder="1" applyAlignment="1">
      <alignment/>
    </xf>
    <xf numFmtId="0" fontId="0" fillId="0" borderId="109" xfId="0" applyBorder="1" applyAlignment="1">
      <alignment/>
    </xf>
    <xf numFmtId="0" fontId="1" fillId="0" borderId="0" xfId="0" applyFont="1" applyBorder="1" applyAlignment="1">
      <alignment horizontal="right" vertical="top"/>
    </xf>
    <xf numFmtId="0" fontId="1" fillId="0" borderId="108" xfId="0" applyFont="1" applyBorder="1" applyAlignment="1">
      <alignment horizontal="right" vertical="top"/>
    </xf>
    <xf numFmtId="0" fontId="1" fillId="0" borderId="109" xfId="0" applyFont="1" applyBorder="1" applyAlignment="1">
      <alignment horizontal="right" vertical="top"/>
    </xf>
    <xf numFmtId="0" fontId="1" fillId="10" borderId="0" xfId="0" applyFont="1" applyFill="1" applyBorder="1" applyAlignment="1">
      <alignment horizontal="left" vertical="top"/>
    </xf>
    <xf numFmtId="0" fontId="1" fillId="10" borderId="103" xfId="0" applyFont="1" applyFill="1" applyBorder="1" applyAlignment="1">
      <alignment horizontal="right" vertical="top"/>
    </xf>
    <xf numFmtId="0" fontId="1" fillId="10" borderId="102" xfId="0" applyFont="1" applyFill="1" applyBorder="1" applyAlignment="1">
      <alignment horizontal="right" vertical="top"/>
    </xf>
    <xf numFmtId="0" fontId="1" fillId="0" borderId="88" xfId="0" applyFont="1" applyBorder="1" applyAlignment="1">
      <alignment horizontal="right" vertical="top"/>
    </xf>
    <xf numFmtId="0" fontId="1" fillId="0" borderId="110" xfId="0" applyFont="1" applyBorder="1" applyAlignment="1">
      <alignment horizontal="right" vertical="top"/>
    </xf>
    <xf numFmtId="0" fontId="1" fillId="5" borderId="67" xfId="0" applyFont="1" applyFill="1" applyBorder="1" applyAlignment="1">
      <alignment horizontal="right" vertical="top"/>
    </xf>
    <xf numFmtId="0" fontId="1" fillId="5" borderId="108" xfId="0" applyFont="1" applyFill="1" applyBorder="1" applyAlignment="1">
      <alignment horizontal="right" vertical="top"/>
    </xf>
    <xf numFmtId="0" fontId="1" fillId="5" borderId="101" xfId="0" applyFont="1" applyFill="1" applyBorder="1" applyAlignment="1">
      <alignment horizontal="right" vertical="top"/>
    </xf>
    <xf numFmtId="0" fontId="1" fillId="5" borderId="109" xfId="0" applyFont="1" applyFill="1" applyBorder="1" applyAlignment="1">
      <alignment horizontal="right" vertical="top"/>
    </xf>
    <xf numFmtId="0" fontId="1" fillId="5" borderId="87" xfId="0" applyFont="1" applyFill="1" applyBorder="1" applyAlignment="1">
      <alignment horizontal="right" vertical="top"/>
    </xf>
    <xf numFmtId="0" fontId="1" fillId="5" borderId="100" xfId="0" applyFont="1" applyFill="1" applyBorder="1" applyAlignment="1">
      <alignment horizontal="right" vertical="top"/>
    </xf>
    <xf numFmtId="0" fontId="1" fillId="5" borderId="81" xfId="0" applyFont="1" applyFill="1" applyBorder="1" applyAlignment="1">
      <alignment horizontal="right" vertical="top"/>
    </xf>
    <xf numFmtId="0" fontId="1" fillId="5" borderId="88" xfId="0" applyFont="1" applyFill="1" applyBorder="1" applyAlignment="1">
      <alignment horizontal="right" vertical="top"/>
    </xf>
    <xf numFmtId="0" fontId="1" fillId="10" borderId="101" xfId="0" applyFont="1" applyFill="1" applyBorder="1" applyAlignment="1">
      <alignment/>
    </xf>
    <xf numFmtId="49" fontId="2" fillId="12" borderId="87" xfId="0" applyNumberFormat="1" applyFont="1" applyFill="1" applyBorder="1" applyAlignment="1">
      <alignment vertical="center"/>
    </xf>
    <xf numFmtId="0" fontId="0" fillId="11" borderId="88" xfId="0" applyFill="1" applyBorder="1" applyAlignment="1">
      <alignment/>
    </xf>
    <xf numFmtId="49" fontId="14" fillId="0" borderId="0" xfId="0" applyNumberFormat="1" applyFont="1" applyAlignment="1">
      <alignment vertical="center"/>
    </xf>
    <xf numFmtId="0" fontId="1" fillId="2" borderId="67" xfId="0" applyFont="1" applyFill="1" applyBorder="1" applyAlignment="1">
      <alignment horizontal="right" vertical="top"/>
    </xf>
    <xf numFmtId="0" fontId="1" fillId="2" borderId="100" xfId="0" applyFont="1" applyFill="1" applyBorder="1" applyAlignment="1">
      <alignment horizontal="right" vertical="top"/>
    </xf>
    <xf numFmtId="0" fontId="1" fillId="2" borderId="101" xfId="0" applyFont="1" applyFill="1" applyBorder="1" applyAlignment="1">
      <alignment horizontal="right" vertical="top"/>
    </xf>
    <xf numFmtId="0" fontId="1" fillId="2" borderId="81" xfId="0" applyFont="1" applyFill="1" applyBorder="1" applyAlignment="1">
      <alignment horizontal="right" vertical="top"/>
    </xf>
    <xf numFmtId="0" fontId="6" fillId="0" borderId="0" xfId="0" applyFont="1" applyAlignment="1">
      <alignment/>
    </xf>
    <xf numFmtId="0" fontId="0" fillId="9" borderId="76" xfId="0" applyFont="1" applyFill="1" applyBorder="1" applyAlignment="1" applyProtection="1">
      <alignment vertical="center"/>
      <protection/>
    </xf>
    <xf numFmtId="0" fontId="0" fillId="9" borderId="51" xfId="0" applyFill="1" applyBorder="1" applyAlignment="1" applyProtection="1">
      <alignment vertical="center"/>
      <protection/>
    </xf>
    <xf numFmtId="0" fontId="0" fillId="9" borderId="46" xfId="0" applyFill="1" applyBorder="1" applyAlignment="1" applyProtection="1">
      <alignment vertical="center"/>
      <protection/>
    </xf>
    <xf numFmtId="0" fontId="0" fillId="9" borderId="16" xfId="0" applyFont="1" applyFill="1" applyBorder="1" applyAlignment="1" applyProtection="1">
      <alignment vertical="center"/>
      <protection/>
    </xf>
    <xf numFmtId="0" fontId="0" fillId="9" borderId="9" xfId="0" applyFont="1" applyFill="1" applyBorder="1" applyAlignment="1" applyProtection="1">
      <alignment vertical="center"/>
      <protection/>
    </xf>
    <xf numFmtId="0" fontId="0" fillId="9" borderId="18" xfId="0" applyFill="1" applyBorder="1" applyAlignment="1" applyProtection="1">
      <alignment vertical="center"/>
      <protection/>
    </xf>
    <xf numFmtId="0" fontId="0" fillId="9" borderId="1" xfId="0" applyFill="1" applyBorder="1" applyAlignment="1" applyProtection="1">
      <alignment vertical="center"/>
      <protection/>
    </xf>
    <xf numFmtId="0" fontId="13" fillId="8" borderId="86" xfId="0" applyFont="1" applyFill="1" applyBorder="1" applyAlignment="1">
      <alignment horizontal="center" vertical="center"/>
    </xf>
    <xf numFmtId="0" fontId="13" fillId="8" borderId="0" xfId="0" applyFont="1" applyFill="1" applyBorder="1" applyAlignment="1">
      <alignment horizontal="center" vertical="center"/>
    </xf>
    <xf numFmtId="0" fontId="13" fillId="8" borderId="85" xfId="0" applyFont="1" applyFill="1" applyBorder="1" applyAlignment="1">
      <alignment horizontal="center" vertical="center"/>
    </xf>
    <xf numFmtId="183" fontId="0" fillId="0" borderId="47" xfId="0" applyNumberFormat="1" applyBorder="1" applyAlignment="1">
      <alignment horizontal="center" vertical="center"/>
    </xf>
    <xf numFmtId="0" fontId="0" fillId="0" borderId="74" xfId="0" applyBorder="1" applyAlignment="1">
      <alignment horizontal="center" vertical="center"/>
    </xf>
    <xf numFmtId="0" fontId="0" fillId="0" borderId="53" xfId="0" applyBorder="1" applyAlignment="1">
      <alignment horizontal="center" vertical="center"/>
    </xf>
    <xf numFmtId="0" fontId="0" fillId="0" borderId="111" xfId="0" applyFill="1" applyBorder="1" applyAlignment="1">
      <alignment horizontal="center" vertical="center"/>
    </xf>
    <xf numFmtId="0" fontId="0" fillId="0" borderId="65" xfId="0" applyFill="1" applyBorder="1" applyAlignment="1">
      <alignment horizontal="center" vertical="center"/>
    </xf>
    <xf numFmtId="0" fontId="0" fillId="0" borderId="111" xfId="0" applyBorder="1" applyAlignment="1">
      <alignment horizontal="center" vertical="center"/>
    </xf>
    <xf numFmtId="0" fontId="0" fillId="0" borderId="65" xfId="0" applyBorder="1" applyAlignment="1">
      <alignment horizontal="center" vertical="center"/>
    </xf>
    <xf numFmtId="0" fontId="0" fillId="2" borderId="112" xfId="0" applyFill="1" applyBorder="1" applyAlignment="1">
      <alignment horizontal="center" vertical="center"/>
    </xf>
    <xf numFmtId="0" fontId="0" fillId="2" borderId="66" xfId="0" applyFill="1" applyBorder="1" applyAlignment="1">
      <alignment horizontal="center" vertical="center"/>
    </xf>
    <xf numFmtId="0" fontId="0" fillId="0" borderId="25" xfId="0" applyFill="1" applyBorder="1" applyAlignment="1">
      <alignment horizontal="center" vertical="center" textRotation="255"/>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0" fillId="0" borderId="49" xfId="0" applyBorder="1" applyAlignment="1">
      <alignment horizontal="center" vertical="center" wrapText="1"/>
    </xf>
    <xf numFmtId="0" fontId="0" fillId="0" borderId="43" xfId="0" applyBorder="1" applyAlignment="1">
      <alignment horizontal="center" vertical="center" wrapText="1"/>
    </xf>
    <xf numFmtId="0" fontId="0" fillId="0" borderId="113" xfId="0" applyFill="1" applyBorder="1" applyAlignment="1">
      <alignment horizontal="center" vertical="center"/>
    </xf>
    <xf numFmtId="0" fontId="0" fillId="0" borderId="64" xfId="0" applyFill="1" applyBorder="1" applyAlignment="1">
      <alignment horizontal="center" vertical="center"/>
    </xf>
    <xf numFmtId="0" fontId="0" fillId="0" borderId="112" xfId="0" applyFill="1" applyBorder="1" applyAlignment="1">
      <alignment horizontal="center" vertical="center"/>
    </xf>
    <xf numFmtId="0" fontId="0" fillId="0" borderId="66" xfId="0" applyFill="1" applyBorder="1" applyAlignment="1">
      <alignment horizontal="center" vertical="center"/>
    </xf>
    <xf numFmtId="0" fontId="0" fillId="0" borderId="74" xfId="0" applyFill="1" applyBorder="1" applyAlignment="1">
      <alignment horizontal="center" vertical="center"/>
    </xf>
    <xf numFmtId="0" fontId="0" fillId="0" borderId="53" xfId="0" applyFill="1" applyBorder="1" applyAlignment="1">
      <alignment horizontal="center" vertical="center"/>
    </xf>
    <xf numFmtId="0" fontId="7" fillId="0" borderId="0" xfId="0" applyFont="1" applyAlignment="1">
      <alignment/>
    </xf>
    <xf numFmtId="0" fontId="0" fillId="0" borderId="16" xfId="0"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17" xfId="0" applyBorder="1" applyAlignment="1">
      <alignment horizontal="center" vertical="center"/>
    </xf>
    <xf numFmtId="0" fontId="0" fillId="8" borderId="0" xfId="0" applyFill="1" applyBorder="1" applyAlignment="1">
      <alignment horizontal="center" vertical="center" textRotation="255" wrapText="1"/>
    </xf>
    <xf numFmtId="185" fontId="0" fillId="0" borderId="47" xfId="0" applyNumberFormat="1" applyFill="1" applyBorder="1" applyAlignment="1">
      <alignment horizontal="center" vertical="center"/>
    </xf>
    <xf numFmtId="0" fontId="0" fillId="0" borderId="113" xfId="0" applyBorder="1" applyAlignment="1">
      <alignment horizontal="center" vertical="center"/>
    </xf>
    <xf numFmtId="0" fontId="0" fillId="0" borderId="112" xfId="0" applyBorder="1" applyAlignment="1">
      <alignment horizontal="center" vertical="center"/>
    </xf>
    <xf numFmtId="0" fontId="0" fillId="0" borderId="94" xfId="0" applyBorder="1" applyAlignment="1">
      <alignment horizontal="center" vertical="center"/>
    </xf>
    <xf numFmtId="0" fontId="0" fillId="0" borderId="46" xfId="0" applyBorder="1" applyAlignment="1">
      <alignment horizontal="center" vertical="center" wrapText="1"/>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23" xfId="0" applyFill="1" applyBorder="1" applyAlignment="1">
      <alignment horizontal="center" vertical="center" textRotation="255"/>
    </xf>
    <xf numFmtId="0" fontId="0" fillId="0" borderId="24" xfId="0" applyFill="1" applyBorder="1" applyAlignment="1">
      <alignment horizontal="center" vertical="center" textRotation="255"/>
    </xf>
    <xf numFmtId="0" fontId="0" fillId="2" borderId="113" xfId="0" applyFill="1" applyBorder="1" applyAlignment="1">
      <alignment horizontal="center" vertical="center"/>
    </xf>
    <xf numFmtId="0" fontId="0" fillId="2" borderId="64" xfId="0" applyFill="1" applyBorder="1" applyAlignment="1">
      <alignment horizontal="center" vertical="center"/>
    </xf>
    <xf numFmtId="0" fontId="0" fillId="0" borderId="114" xfId="0" applyBorder="1" applyAlignment="1">
      <alignment horizontal="center" vertical="center" wrapText="1"/>
    </xf>
    <xf numFmtId="0" fontId="0" fillId="0" borderId="115" xfId="0" applyBorder="1" applyAlignment="1">
      <alignment horizontal="center" vertical="center" wrapText="1"/>
    </xf>
    <xf numFmtId="0" fontId="0" fillId="0" borderId="48" xfId="0" applyFill="1" applyBorder="1" applyAlignment="1">
      <alignment horizontal="center" vertical="center"/>
    </xf>
    <xf numFmtId="0" fontId="0" fillId="0" borderId="73" xfId="0" applyBorder="1" applyAlignment="1">
      <alignment horizontal="center" vertical="center" wrapText="1"/>
    </xf>
    <xf numFmtId="0" fontId="0" fillId="0" borderId="45" xfId="0" applyBorder="1" applyAlignment="1">
      <alignment horizontal="center" vertical="center" wrapText="1"/>
    </xf>
    <xf numFmtId="0" fontId="0" fillId="0" borderId="41" xfId="0" applyBorder="1" applyAlignment="1">
      <alignment horizontal="center" vertical="center"/>
    </xf>
    <xf numFmtId="0" fontId="13" fillId="8" borderId="86" xfId="0" applyFont="1" applyFill="1" applyBorder="1" applyAlignment="1">
      <alignment horizontal="center" vertical="center" textRotation="255" wrapText="1"/>
    </xf>
    <xf numFmtId="49" fontId="0" fillId="0" borderId="47" xfId="0" applyNumberFormat="1" applyFill="1" applyBorder="1" applyAlignment="1">
      <alignment horizontal="center" vertical="center"/>
    </xf>
    <xf numFmtId="0" fontId="0" fillId="2" borderId="74" xfId="0" applyFill="1" applyBorder="1" applyAlignment="1">
      <alignment horizontal="center" vertical="center"/>
    </xf>
    <xf numFmtId="0" fontId="0" fillId="2" borderId="53" xfId="0" applyFill="1" applyBorder="1" applyAlignment="1">
      <alignment horizontal="center" vertical="center"/>
    </xf>
    <xf numFmtId="0" fontId="0" fillId="0" borderId="43" xfId="0" applyBorder="1" applyAlignment="1">
      <alignment horizontal="center" vertical="center"/>
    </xf>
    <xf numFmtId="0" fontId="0" fillId="2" borderId="12" xfId="0" applyFill="1" applyBorder="1" applyAlignment="1">
      <alignment horizontal="center" vertical="center"/>
    </xf>
    <xf numFmtId="0" fontId="0" fillId="2" borderId="8" xfId="0" applyFill="1" applyBorder="1" applyAlignment="1">
      <alignment horizontal="center" vertical="center"/>
    </xf>
    <xf numFmtId="0" fontId="0" fillId="2" borderId="52" xfId="0" applyFill="1" applyBorder="1" applyAlignment="1">
      <alignment horizontal="center" vertical="center"/>
    </xf>
    <xf numFmtId="0" fontId="0" fillId="2" borderId="14" xfId="0" applyFill="1" applyBorder="1" applyAlignment="1">
      <alignment horizontal="center" vertical="center"/>
    </xf>
    <xf numFmtId="0" fontId="0" fillId="0" borderId="98" xfId="0" applyFill="1" applyBorder="1" applyAlignment="1">
      <alignment horizontal="center" vertical="center"/>
    </xf>
    <xf numFmtId="0" fontId="0" fillId="0" borderId="82" xfId="0" applyFill="1" applyBorder="1" applyAlignment="1">
      <alignment horizontal="center" vertical="center"/>
    </xf>
    <xf numFmtId="0" fontId="0" fillId="0" borderId="18" xfId="0" applyFill="1" applyBorder="1" applyAlignment="1">
      <alignment horizontal="center" vertical="center"/>
    </xf>
    <xf numFmtId="0" fontId="0" fillId="0" borderId="9" xfId="0" applyFill="1" applyBorder="1" applyAlignment="1">
      <alignment horizontal="center" vertical="center"/>
    </xf>
    <xf numFmtId="0" fontId="0" fillId="0" borderId="94" xfId="0" applyFill="1" applyBorder="1" applyAlignment="1">
      <alignment horizontal="center" vertical="center"/>
    </xf>
    <xf numFmtId="0" fontId="0" fillId="0" borderId="55" xfId="0" applyFill="1" applyBorder="1" applyAlignment="1">
      <alignment horizontal="center" vertical="center"/>
    </xf>
    <xf numFmtId="0" fontId="0" fillId="2" borderId="46" xfId="0" applyFill="1" applyBorder="1" applyAlignment="1">
      <alignment horizontal="center" vertical="center"/>
    </xf>
    <xf numFmtId="0" fontId="0" fillId="2" borderId="16" xfId="0" applyFill="1" applyBorder="1" applyAlignment="1">
      <alignment horizontal="center" vertical="center"/>
    </xf>
    <xf numFmtId="0" fontId="0" fillId="0" borderId="52" xfId="0" applyFill="1" applyBorder="1" applyAlignment="1">
      <alignment horizontal="center" vertical="center"/>
    </xf>
    <xf numFmtId="0" fontId="0" fillId="0" borderId="14" xfId="0" applyFill="1" applyBorder="1" applyAlignment="1">
      <alignment horizontal="center" vertical="center"/>
    </xf>
    <xf numFmtId="0" fontId="0" fillId="0" borderId="116" xfId="0" applyBorder="1" applyAlignment="1">
      <alignment horizontal="center" vertical="center"/>
    </xf>
    <xf numFmtId="0" fontId="0" fillId="0" borderId="115" xfId="0" applyBorder="1" applyAlignment="1">
      <alignment horizontal="center" vertical="center"/>
    </xf>
    <xf numFmtId="0" fontId="0" fillId="0" borderId="23" xfId="0" applyBorder="1" applyAlignment="1">
      <alignment horizontal="center" vertical="center" textRotation="255"/>
    </xf>
    <xf numFmtId="0" fontId="0" fillId="0" borderId="24" xfId="0" applyBorder="1" applyAlignment="1">
      <alignment horizontal="center" vertical="center" textRotation="255"/>
    </xf>
    <xf numFmtId="0" fontId="0" fillId="0" borderId="19" xfId="0" applyBorder="1" applyAlignment="1">
      <alignment horizontal="center" vertical="center" wrapText="1"/>
    </xf>
    <xf numFmtId="0" fontId="0" fillId="0" borderId="88" xfId="0" applyBorder="1" applyAlignment="1">
      <alignment horizontal="center" vertical="center" wrapText="1"/>
    </xf>
    <xf numFmtId="0" fontId="0" fillId="0" borderId="12" xfId="0" applyFill="1" applyBorder="1" applyAlignment="1">
      <alignment horizontal="center" vertical="center"/>
    </xf>
    <xf numFmtId="0" fontId="0" fillId="0" borderId="70" xfId="0" applyFill="1" applyBorder="1" applyAlignment="1">
      <alignment horizontal="center" vertical="center"/>
    </xf>
    <xf numFmtId="0" fontId="0" fillId="0" borderId="101" xfId="0" applyFill="1" applyBorder="1" applyAlignment="1">
      <alignment horizontal="center" vertical="center"/>
    </xf>
    <xf numFmtId="0" fontId="0" fillId="0" borderId="41" xfId="0" applyFill="1" applyBorder="1" applyAlignment="1">
      <alignment horizontal="center" vertical="center"/>
    </xf>
    <xf numFmtId="0" fontId="0" fillId="0" borderId="2" xfId="0" applyFill="1" applyBorder="1" applyAlignment="1">
      <alignment horizontal="center" vertical="center"/>
    </xf>
    <xf numFmtId="0" fontId="0" fillId="0" borderId="67" xfId="0" applyFill="1" applyBorder="1" applyAlignment="1">
      <alignment horizontal="center" vertical="center"/>
    </xf>
    <xf numFmtId="181" fontId="0" fillId="0" borderId="58" xfId="0" applyNumberFormat="1" applyBorder="1" applyAlignment="1">
      <alignment horizontal="center" vertical="center"/>
    </xf>
    <xf numFmtId="181" fontId="0" fillId="0" borderId="66" xfId="0" applyNumberFormat="1" applyBorder="1" applyAlignment="1">
      <alignment horizontal="center" vertical="center"/>
    </xf>
    <xf numFmtId="0" fontId="0" fillId="0" borderId="44" xfId="0" applyBorder="1" applyAlignment="1">
      <alignment horizontal="center" vertical="center"/>
    </xf>
    <xf numFmtId="0" fontId="0" fillId="2" borderId="41" xfId="0" applyFill="1" applyBorder="1" applyAlignment="1">
      <alignment horizontal="center" vertical="center"/>
    </xf>
    <xf numFmtId="0" fontId="0" fillId="2" borderId="70" xfId="0" applyFill="1" applyBorder="1" applyAlignment="1">
      <alignment horizontal="center" vertical="center"/>
    </xf>
    <xf numFmtId="0" fontId="0" fillId="0" borderId="46" xfId="0" applyFill="1" applyBorder="1" applyAlignment="1">
      <alignment horizontal="center" vertical="center"/>
    </xf>
    <xf numFmtId="0" fontId="0" fillId="0" borderId="69" xfId="0" applyFill="1" applyBorder="1" applyAlignment="1">
      <alignment horizontal="center" vertical="center"/>
    </xf>
    <xf numFmtId="0" fontId="0" fillId="0" borderId="54" xfId="0" applyFill="1" applyBorder="1" applyAlignment="1">
      <alignment horizontal="center" vertical="center"/>
    </xf>
    <xf numFmtId="181" fontId="0" fillId="0" borderId="58" xfId="0" applyNumberFormat="1" applyFill="1" applyBorder="1" applyAlignment="1">
      <alignment horizontal="center" vertical="center"/>
    </xf>
    <xf numFmtId="181" fontId="0" fillId="0" borderId="66" xfId="0" applyNumberFormat="1" applyFill="1" applyBorder="1" applyAlignment="1">
      <alignment horizontal="center" vertical="center"/>
    </xf>
    <xf numFmtId="181" fontId="0" fillId="0" borderId="57" xfId="0" applyNumberFormat="1" applyFill="1" applyBorder="1" applyAlignment="1">
      <alignment horizontal="center" vertical="center"/>
    </xf>
    <xf numFmtId="181" fontId="0" fillId="0" borderId="64" xfId="0" applyNumberFormat="1" applyFill="1" applyBorder="1" applyAlignment="1">
      <alignment horizontal="center" vertical="center"/>
    </xf>
    <xf numFmtId="0" fontId="0" fillId="0" borderId="57" xfId="0" applyBorder="1" applyAlignment="1">
      <alignment horizontal="center" vertical="center"/>
    </xf>
    <xf numFmtId="0" fontId="0" fillId="0" borderId="64" xfId="0" applyBorder="1" applyAlignment="1">
      <alignment horizontal="center" vertical="center"/>
    </xf>
    <xf numFmtId="0" fontId="0" fillId="0" borderId="52" xfId="0" applyBorder="1" applyAlignment="1">
      <alignment horizontal="center" vertical="center"/>
    </xf>
    <xf numFmtId="0" fontId="0" fillId="0" borderId="14" xfId="0" applyBorder="1" applyAlignment="1">
      <alignment horizontal="center" vertical="center"/>
    </xf>
    <xf numFmtId="0" fontId="0" fillId="0" borderId="98" xfId="0" applyBorder="1" applyAlignment="1">
      <alignment horizontal="center" vertical="center"/>
    </xf>
    <xf numFmtId="0" fontId="0" fillId="0" borderId="82" xfId="0" applyBorder="1" applyAlignment="1">
      <alignment horizontal="center" vertical="center"/>
    </xf>
    <xf numFmtId="0" fontId="0" fillId="0" borderId="18" xfId="0" applyBorder="1" applyAlignment="1">
      <alignment horizontal="center" vertical="center"/>
    </xf>
    <xf numFmtId="0" fontId="0" fillId="0" borderId="9" xfId="0" applyBorder="1" applyAlignment="1">
      <alignment horizontal="center" vertical="center"/>
    </xf>
    <xf numFmtId="0" fontId="0" fillId="0" borderId="48" xfId="0" applyBorder="1" applyAlignment="1">
      <alignment horizontal="center" vertical="center"/>
    </xf>
    <xf numFmtId="0" fontId="0" fillId="2" borderId="57" xfId="0" applyFill="1" applyBorder="1" applyAlignment="1">
      <alignment horizontal="center" vertical="center"/>
    </xf>
    <xf numFmtId="0" fontId="0" fillId="0" borderId="56" xfId="0" applyBorder="1" applyAlignment="1">
      <alignment horizontal="center" vertical="center"/>
    </xf>
    <xf numFmtId="0" fontId="0" fillId="2" borderId="58" xfId="0" applyFill="1" applyBorder="1" applyAlignment="1">
      <alignment horizontal="center" vertical="center"/>
    </xf>
    <xf numFmtId="0" fontId="0" fillId="0" borderId="89" xfId="0" applyBorder="1" applyAlignment="1">
      <alignment horizontal="center" vertical="center" wrapText="1"/>
    </xf>
    <xf numFmtId="0" fontId="0" fillId="0" borderId="116" xfId="0" applyBorder="1" applyAlignment="1">
      <alignment horizontal="center" vertical="center" wrapText="1"/>
    </xf>
    <xf numFmtId="0" fontId="0" fillId="0" borderId="45" xfId="0" applyBorder="1" applyAlignment="1">
      <alignment horizontal="center" vertical="center"/>
    </xf>
    <xf numFmtId="0" fontId="0" fillId="0" borderId="25" xfId="0" applyBorder="1" applyAlignment="1">
      <alignment horizontal="center" vertical="center" textRotation="255"/>
    </xf>
    <xf numFmtId="0" fontId="0" fillId="2" borderId="23" xfId="0" applyFill="1" applyBorder="1" applyAlignment="1">
      <alignment horizontal="center" vertical="center" textRotation="255"/>
    </xf>
    <xf numFmtId="0" fontId="0" fillId="2" borderId="24" xfId="0" applyFill="1" applyBorder="1" applyAlignment="1">
      <alignment horizontal="center" vertical="center" textRotation="255"/>
    </xf>
    <xf numFmtId="0" fontId="0" fillId="2" borderId="25" xfId="0" applyFill="1" applyBorder="1" applyAlignment="1">
      <alignment horizontal="center" vertical="center" textRotation="255"/>
    </xf>
    <xf numFmtId="0" fontId="8" fillId="0" borderId="47" xfId="0" applyFont="1" applyBorder="1" applyAlignment="1">
      <alignment horizontal="center" vertical="top"/>
    </xf>
    <xf numFmtId="0" fontId="8" fillId="0" borderId="0" xfId="0" applyFont="1" applyBorder="1" applyAlignment="1">
      <alignment horizontal="center" vertical="top"/>
    </xf>
    <xf numFmtId="0" fontId="0" fillId="0" borderId="49" xfId="0" applyBorder="1" applyAlignment="1">
      <alignment horizontal="left" vertical="top"/>
    </xf>
    <xf numFmtId="0" fontId="0" fillId="0" borderId="89" xfId="0" applyBorder="1" applyAlignment="1">
      <alignment horizontal="left" vertical="top"/>
    </xf>
    <xf numFmtId="0" fontId="0" fillId="0" borderId="43" xfId="0" applyBorder="1" applyAlignment="1">
      <alignment horizontal="left" vertical="top"/>
    </xf>
    <xf numFmtId="0" fontId="0" fillId="0" borderId="84" xfId="0" applyBorder="1" applyAlignment="1">
      <alignment horizontal="center" vertical="center"/>
    </xf>
    <xf numFmtId="0" fontId="0" fillId="0" borderId="4" xfId="0" applyBorder="1" applyAlignment="1">
      <alignment horizontal="center" vertical="center"/>
    </xf>
    <xf numFmtId="49" fontId="14" fillId="0" borderId="2"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 xfId="0" applyNumberFormat="1" applyFont="1" applyBorder="1" applyAlignment="1">
      <alignment horizontal="center" vertical="center"/>
    </xf>
    <xf numFmtId="49" fontId="3" fillId="9" borderId="67" xfId="0" applyNumberFormat="1" applyFont="1" applyFill="1" applyBorder="1" applyAlignment="1">
      <alignment horizontal="center" vertical="center" wrapText="1"/>
    </xf>
    <xf numFmtId="49" fontId="3" fillId="9" borderId="100" xfId="0" applyNumberFormat="1" applyFont="1" applyFill="1" applyBorder="1" applyAlignment="1">
      <alignment horizontal="center" vertical="center" wrapText="1"/>
    </xf>
    <xf numFmtId="49" fontId="3" fillId="9" borderId="101" xfId="0" applyNumberFormat="1" applyFont="1" applyFill="1" applyBorder="1" applyAlignment="1">
      <alignment horizontal="center" vertical="center"/>
    </xf>
    <xf numFmtId="49" fontId="3" fillId="9" borderId="88" xfId="0" applyNumberFormat="1" applyFont="1" applyFill="1" applyBorder="1" applyAlignment="1">
      <alignment horizontal="center" vertical="center"/>
    </xf>
    <xf numFmtId="49" fontId="3" fillId="9" borderId="81" xfId="0" applyNumberFormat="1" applyFont="1" applyFill="1" applyBorder="1" applyAlignment="1">
      <alignment horizontal="center" vertical="center"/>
    </xf>
    <xf numFmtId="0" fontId="0" fillId="11" borderId="1" xfId="0" applyFill="1" applyBorder="1" applyAlignment="1">
      <alignment horizontal="center"/>
    </xf>
    <xf numFmtId="0" fontId="0" fillId="11" borderId="2" xfId="0" applyFill="1" applyBorder="1" applyAlignment="1">
      <alignment horizontal="center"/>
    </xf>
    <xf numFmtId="0" fontId="0" fillId="11" borderId="84" xfId="0" applyFill="1" applyBorder="1" applyAlignment="1">
      <alignment horizontal="center"/>
    </xf>
    <xf numFmtId="49" fontId="15" fillId="9" borderId="67" xfId="0" applyNumberFormat="1" applyFont="1" applyFill="1" applyBorder="1" applyAlignment="1">
      <alignment horizontal="center" vertical="center" wrapText="1"/>
    </xf>
    <xf numFmtId="49" fontId="15" fillId="9" borderId="100" xfId="0" applyNumberFormat="1" applyFont="1" applyFill="1" applyBorder="1" applyAlignment="1">
      <alignment horizontal="center" vertical="center" wrapText="1"/>
    </xf>
    <xf numFmtId="49" fontId="3" fillId="9" borderId="87" xfId="0" applyNumberFormat="1" applyFont="1" applyFill="1" applyBorder="1" applyAlignment="1">
      <alignment horizontal="center" vertical="center"/>
    </xf>
    <xf numFmtId="0" fontId="1" fillId="10" borderId="101" xfId="0" applyFont="1" applyFill="1" applyBorder="1" applyAlignment="1">
      <alignment horizontal="center"/>
    </xf>
    <xf numFmtId="0" fontId="1" fillId="10" borderId="81" xfId="0" applyFont="1" applyFill="1" applyBorder="1" applyAlignment="1">
      <alignment horizontal="center"/>
    </xf>
    <xf numFmtId="0" fontId="1"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4</xdr:row>
      <xdr:rowOff>200025</xdr:rowOff>
    </xdr:from>
    <xdr:to>
      <xdr:col>5</xdr:col>
      <xdr:colOff>371475</xdr:colOff>
      <xdr:row>4</xdr:row>
      <xdr:rowOff>381000</xdr:rowOff>
    </xdr:to>
    <xdr:sp>
      <xdr:nvSpPr>
        <xdr:cNvPr id="1" name="Rectangle 13"/>
        <xdr:cNvSpPr>
          <a:spLocks/>
        </xdr:cNvSpPr>
      </xdr:nvSpPr>
      <xdr:spPr>
        <a:xfrm>
          <a:off x="2219325" y="1952625"/>
          <a:ext cx="295275" cy="190500"/>
        </a:xfrm>
        <a:prstGeom prst="roundRect">
          <a:avLst/>
        </a:prstGeom>
        <a:solidFill>
          <a:srgbClr val="FFFFFF"/>
        </a:solidFill>
        <a:ln w="25400" cmpd="dbl">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南海</a:t>
          </a:r>
        </a:p>
      </xdr:txBody>
    </xdr:sp>
    <xdr:clientData/>
  </xdr:twoCellAnchor>
  <xdr:twoCellAnchor>
    <xdr:from>
      <xdr:col>1</xdr:col>
      <xdr:colOff>57150</xdr:colOff>
      <xdr:row>0</xdr:row>
      <xdr:rowOff>200025</xdr:rowOff>
    </xdr:from>
    <xdr:to>
      <xdr:col>1</xdr:col>
      <xdr:colOff>352425</xdr:colOff>
      <xdr:row>0</xdr:row>
      <xdr:rowOff>381000</xdr:rowOff>
    </xdr:to>
    <xdr:sp>
      <xdr:nvSpPr>
        <xdr:cNvPr id="2" name="Rectangle 1"/>
        <xdr:cNvSpPr>
          <a:spLocks/>
        </xdr:cNvSpPr>
      </xdr:nvSpPr>
      <xdr:spPr>
        <a:xfrm>
          <a:off x="485775" y="200025"/>
          <a:ext cx="295275" cy="190500"/>
        </a:xfrm>
        <a:prstGeom prst="roundRect">
          <a:avLst/>
        </a:prstGeom>
        <a:solidFill>
          <a:srgbClr val="FFFFFF"/>
        </a:solidFill>
        <a:ln w="25400" cmpd="dbl">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山陽</a:t>
          </a:r>
        </a:p>
      </xdr:txBody>
    </xdr:sp>
    <xdr:clientData/>
  </xdr:twoCellAnchor>
  <xdr:twoCellAnchor>
    <xdr:from>
      <xdr:col>4</xdr:col>
      <xdr:colOff>76200</xdr:colOff>
      <xdr:row>3</xdr:row>
      <xdr:rowOff>200025</xdr:rowOff>
    </xdr:from>
    <xdr:to>
      <xdr:col>4</xdr:col>
      <xdr:colOff>371475</xdr:colOff>
      <xdr:row>3</xdr:row>
      <xdr:rowOff>381000</xdr:rowOff>
    </xdr:to>
    <xdr:sp>
      <xdr:nvSpPr>
        <xdr:cNvPr id="3" name="Rectangle 15"/>
        <xdr:cNvSpPr>
          <a:spLocks/>
        </xdr:cNvSpPr>
      </xdr:nvSpPr>
      <xdr:spPr>
        <a:xfrm>
          <a:off x="1790700" y="1514475"/>
          <a:ext cx="295275" cy="190500"/>
        </a:xfrm>
        <a:prstGeom prst="roundRect">
          <a:avLst/>
        </a:prstGeom>
        <a:solidFill>
          <a:srgbClr val="FFFFFF"/>
        </a:solidFill>
        <a:ln w="25400" cmpd="dbl">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ＪＲ</a:t>
          </a:r>
        </a:p>
      </xdr:txBody>
    </xdr:sp>
    <xdr:clientData/>
  </xdr:twoCellAnchor>
  <xdr:twoCellAnchor>
    <xdr:from>
      <xdr:col>0</xdr:col>
      <xdr:colOff>66675</xdr:colOff>
      <xdr:row>10</xdr:row>
      <xdr:rowOff>209550</xdr:rowOff>
    </xdr:from>
    <xdr:to>
      <xdr:col>0</xdr:col>
      <xdr:colOff>361950</xdr:colOff>
      <xdr:row>10</xdr:row>
      <xdr:rowOff>390525</xdr:rowOff>
    </xdr:to>
    <xdr:sp>
      <xdr:nvSpPr>
        <xdr:cNvPr id="4" name="Rectangle 14"/>
        <xdr:cNvSpPr>
          <a:spLocks/>
        </xdr:cNvSpPr>
      </xdr:nvSpPr>
      <xdr:spPr>
        <a:xfrm>
          <a:off x="66675" y="4591050"/>
          <a:ext cx="295275" cy="190500"/>
        </a:xfrm>
        <a:prstGeom prst="roundRect">
          <a:avLst/>
        </a:prstGeom>
        <a:solidFill>
          <a:srgbClr val="FFFFFF"/>
        </a:solidFill>
        <a:ln w="25400" cmpd="dbl">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阪神</a:t>
          </a:r>
        </a:p>
      </xdr:txBody>
    </xdr:sp>
    <xdr:clientData/>
  </xdr:twoCellAnchor>
  <xdr:twoCellAnchor>
    <xdr:from>
      <xdr:col>12</xdr:col>
      <xdr:colOff>47625</xdr:colOff>
      <xdr:row>10</xdr:row>
      <xdr:rowOff>180975</xdr:rowOff>
    </xdr:from>
    <xdr:to>
      <xdr:col>12</xdr:col>
      <xdr:colOff>342900</xdr:colOff>
      <xdr:row>10</xdr:row>
      <xdr:rowOff>361950</xdr:rowOff>
    </xdr:to>
    <xdr:sp>
      <xdr:nvSpPr>
        <xdr:cNvPr id="5" name="Rectangle 2"/>
        <xdr:cNvSpPr>
          <a:spLocks/>
        </xdr:cNvSpPr>
      </xdr:nvSpPr>
      <xdr:spPr>
        <a:xfrm>
          <a:off x="5191125" y="4562475"/>
          <a:ext cx="295275" cy="190500"/>
        </a:xfrm>
        <a:prstGeom prst="roundRect">
          <a:avLst/>
        </a:prstGeom>
        <a:solidFill>
          <a:srgbClr val="FFFFFF"/>
        </a:solidFill>
        <a:ln w="1587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南海</a:t>
          </a:r>
        </a:p>
      </xdr:txBody>
    </xdr:sp>
    <xdr:clientData/>
  </xdr:twoCellAnchor>
  <xdr:twoCellAnchor>
    <xdr:from>
      <xdr:col>6</xdr:col>
      <xdr:colOff>57150</xdr:colOff>
      <xdr:row>10</xdr:row>
      <xdr:rowOff>152400</xdr:rowOff>
    </xdr:from>
    <xdr:to>
      <xdr:col>6</xdr:col>
      <xdr:colOff>352425</xdr:colOff>
      <xdr:row>10</xdr:row>
      <xdr:rowOff>342900</xdr:rowOff>
    </xdr:to>
    <xdr:sp>
      <xdr:nvSpPr>
        <xdr:cNvPr id="6" name="Rectangle 3"/>
        <xdr:cNvSpPr>
          <a:spLocks/>
        </xdr:cNvSpPr>
      </xdr:nvSpPr>
      <xdr:spPr>
        <a:xfrm>
          <a:off x="2628900" y="4533900"/>
          <a:ext cx="295275" cy="190500"/>
        </a:xfrm>
        <a:prstGeom prst="roundRect">
          <a:avLst/>
        </a:prstGeom>
        <a:solidFill>
          <a:srgbClr val="FFFFFF"/>
        </a:solidFill>
        <a:ln w="1587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阪神</a:t>
          </a:r>
        </a:p>
      </xdr:txBody>
    </xdr:sp>
    <xdr:clientData/>
  </xdr:twoCellAnchor>
  <xdr:twoCellAnchor>
    <xdr:from>
      <xdr:col>12</xdr:col>
      <xdr:colOff>66675</xdr:colOff>
      <xdr:row>9</xdr:row>
      <xdr:rowOff>228600</xdr:rowOff>
    </xdr:from>
    <xdr:to>
      <xdr:col>12</xdr:col>
      <xdr:colOff>361950</xdr:colOff>
      <xdr:row>9</xdr:row>
      <xdr:rowOff>409575</xdr:rowOff>
    </xdr:to>
    <xdr:sp>
      <xdr:nvSpPr>
        <xdr:cNvPr id="7" name="Rectangle 4"/>
        <xdr:cNvSpPr>
          <a:spLocks/>
        </xdr:cNvSpPr>
      </xdr:nvSpPr>
      <xdr:spPr>
        <a:xfrm>
          <a:off x="5210175" y="4171950"/>
          <a:ext cx="295275" cy="190500"/>
        </a:xfrm>
        <a:prstGeom prst="roundRect">
          <a:avLst/>
        </a:prstGeom>
        <a:solidFill>
          <a:srgbClr val="FFFFFF"/>
        </a:solidFill>
        <a:ln w="1587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ＪＲ</a:t>
          </a:r>
        </a:p>
      </xdr:txBody>
    </xdr:sp>
    <xdr:clientData/>
  </xdr:twoCellAnchor>
  <xdr:twoCellAnchor>
    <xdr:from>
      <xdr:col>7</xdr:col>
      <xdr:colOff>57150</xdr:colOff>
      <xdr:row>8</xdr:row>
      <xdr:rowOff>247650</xdr:rowOff>
    </xdr:from>
    <xdr:to>
      <xdr:col>7</xdr:col>
      <xdr:colOff>352425</xdr:colOff>
      <xdr:row>9</xdr:row>
      <xdr:rowOff>0</xdr:rowOff>
    </xdr:to>
    <xdr:sp>
      <xdr:nvSpPr>
        <xdr:cNvPr id="8" name="Rectangle 5"/>
        <xdr:cNvSpPr>
          <a:spLocks/>
        </xdr:cNvSpPr>
      </xdr:nvSpPr>
      <xdr:spPr>
        <a:xfrm>
          <a:off x="3057525" y="3752850"/>
          <a:ext cx="295275" cy="190500"/>
        </a:xfrm>
        <a:prstGeom prst="roundRect">
          <a:avLst/>
        </a:prstGeom>
        <a:solidFill>
          <a:srgbClr val="FFFFFF"/>
        </a:solidFill>
        <a:ln w="1587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阪急</a:t>
          </a:r>
        </a:p>
      </xdr:txBody>
    </xdr:sp>
    <xdr:clientData/>
  </xdr:twoCellAnchor>
  <xdr:twoCellAnchor>
    <xdr:from>
      <xdr:col>11</xdr:col>
      <xdr:colOff>57150</xdr:colOff>
      <xdr:row>8</xdr:row>
      <xdr:rowOff>238125</xdr:rowOff>
    </xdr:from>
    <xdr:to>
      <xdr:col>11</xdr:col>
      <xdr:colOff>352425</xdr:colOff>
      <xdr:row>8</xdr:row>
      <xdr:rowOff>419100</xdr:rowOff>
    </xdr:to>
    <xdr:sp>
      <xdr:nvSpPr>
        <xdr:cNvPr id="9" name="Rectangle 6"/>
        <xdr:cNvSpPr>
          <a:spLocks/>
        </xdr:cNvSpPr>
      </xdr:nvSpPr>
      <xdr:spPr>
        <a:xfrm>
          <a:off x="4772025" y="3743325"/>
          <a:ext cx="295275" cy="190500"/>
        </a:xfrm>
        <a:prstGeom prst="roundRect">
          <a:avLst/>
        </a:prstGeom>
        <a:solidFill>
          <a:srgbClr val="FFFFFF"/>
        </a:solidFill>
        <a:ln w="1587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京阪</a:t>
          </a:r>
        </a:p>
      </xdr:txBody>
    </xdr:sp>
    <xdr:clientData/>
  </xdr:twoCellAnchor>
  <xdr:twoCellAnchor>
    <xdr:from>
      <xdr:col>12</xdr:col>
      <xdr:colOff>66675</xdr:colOff>
      <xdr:row>9</xdr:row>
      <xdr:rowOff>419100</xdr:rowOff>
    </xdr:from>
    <xdr:to>
      <xdr:col>12</xdr:col>
      <xdr:colOff>361950</xdr:colOff>
      <xdr:row>10</xdr:row>
      <xdr:rowOff>180975</xdr:rowOff>
    </xdr:to>
    <xdr:sp>
      <xdr:nvSpPr>
        <xdr:cNvPr id="10" name="Rectangle 7"/>
        <xdr:cNvSpPr>
          <a:spLocks/>
        </xdr:cNvSpPr>
      </xdr:nvSpPr>
      <xdr:spPr>
        <a:xfrm>
          <a:off x="5210175" y="4362450"/>
          <a:ext cx="295275" cy="200025"/>
        </a:xfrm>
        <a:prstGeom prst="roundRect">
          <a:avLst/>
        </a:prstGeom>
        <a:solidFill>
          <a:srgbClr val="FFFFFF"/>
        </a:solidFill>
        <a:ln w="1587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山陽</a:t>
          </a:r>
        </a:p>
      </xdr:txBody>
    </xdr:sp>
    <xdr:clientData/>
  </xdr:twoCellAnchor>
  <xdr:twoCellAnchor>
    <xdr:from>
      <xdr:col>12</xdr:col>
      <xdr:colOff>66675</xdr:colOff>
      <xdr:row>9</xdr:row>
      <xdr:rowOff>9525</xdr:rowOff>
    </xdr:from>
    <xdr:to>
      <xdr:col>12</xdr:col>
      <xdr:colOff>361950</xdr:colOff>
      <xdr:row>9</xdr:row>
      <xdr:rowOff>200025</xdr:rowOff>
    </xdr:to>
    <xdr:sp>
      <xdr:nvSpPr>
        <xdr:cNvPr id="11" name="Rectangle 8"/>
        <xdr:cNvSpPr>
          <a:spLocks/>
        </xdr:cNvSpPr>
      </xdr:nvSpPr>
      <xdr:spPr>
        <a:xfrm>
          <a:off x="5210175" y="3952875"/>
          <a:ext cx="295275" cy="190500"/>
        </a:xfrm>
        <a:prstGeom prst="roundRect">
          <a:avLst/>
        </a:prstGeom>
        <a:solidFill>
          <a:srgbClr val="FFFFFF"/>
        </a:solidFill>
        <a:ln w="1587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近鉄</a:t>
          </a:r>
        </a:p>
      </xdr:txBody>
    </xdr:sp>
    <xdr:clientData/>
  </xdr:twoCellAnchor>
  <xdr:twoCellAnchor>
    <xdr:from>
      <xdr:col>12</xdr:col>
      <xdr:colOff>38100</xdr:colOff>
      <xdr:row>8</xdr:row>
      <xdr:rowOff>180975</xdr:rowOff>
    </xdr:from>
    <xdr:to>
      <xdr:col>12</xdr:col>
      <xdr:colOff>333375</xdr:colOff>
      <xdr:row>8</xdr:row>
      <xdr:rowOff>361950</xdr:rowOff>
    </xdr:to>
    <xdr:sp>
      <xdr:nvSpPr>
        <xdr:cNvPr id="12" name="Rectangle 9"/>
        <xdr:cNvSpPr>
          <a:spLocks/>
        </xdr:cNvSpPr>
      </xdr:nvSpPr>
      <xdr:spPr>
        <a:xfrm>
          <a:off x="5181600" y="3686175"/>
          <a:ext cx="295275" cy="190500"/>
        </a:xfrm>
        <a:prstGeom prst="roundRect">
          <a:avLst/>
        </a:prstGeom>
        <a:solidFill>
          <a:srgbClr val="FFFFFF"/>
        </a:solidFill>
        <a:ln w="1587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地下</a:t>
          </a:r>
        </a:p>
      </xdr:txBody>
    </xdr:sp>
    <xdr:clientData/>
  </xdr:twoCellAnchor>
  <xdr:twoCellAnchor>
    <xdr:from>
      <xdr:col>14</xdr:col>
      <xdr:colOff>0</xdr:colOff>
      <xdr:row>4</xdr:row>
      <xdr:rowOff>419100</xdr:rowOff>
    </xdr:from>
    <xdr:to>
      <xdr:col>18</xdr:col>
      <xdr:colOff>0</xdr:colOff>
      <xdr:row>11</xdr:row>
      <xdr:rowOff>0</xdr:rowOff>
    </xdr:to>
    <xdr:sp>
      <xdr:nvSpPr>
        <xdr:cNvPr id="13" name="TextBox 10"/>
        <xdr:cNvSpPr txBox="1">
          <a:spLocks noChangeArrowheads="1"/>
        </xdr:cNvSpPr>
      </xdr:nvSpPr>
      <xdr:spPr>
        <a:xfrm>
          <a:off x="6000750" y="2171700"/>
          <a:ext cx="1714500" cy="2647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200" b="0" i="0" u="none" baseline="0"/>
            <a:t>阪神：株
阪急：2株
ＪＲ：株
近鉄：株
大阪：株
京阪：3株
南海：4株
山陽：株</a:t>
          </a:r>
        </a:p>
      </xdr:txBody>
    </xdr:sp>
    <xdr:clientData/>
  </xdr:twoCellAnchor>
  <xdr:twoCellAnchor>
    <xdr:from>
      <xdr:col>6</xdr:col>
      <xdr:colOff>85725</xdr:colOff>
      <xdr:row>2</xdr:row>
      <xdr:rowOff>190500</xdr:rowOff>
    </xdr:from>
    <xdr:to>
      <xdr:col>6</xdr:col>
      <xdr:colOff>381000</xdr:colOff>
      <xdr:row>2</xdr:row>
      <xdr:rowOff>381000</xdr:rowOff>
    </xdr:to>
    <xdr:sp>
      <xdr:nvSpPr>
        <xdr:cNvPr id="14" name="Rectangle 11"/>
        <xdr:cNvSpPr>
          <a:spLocks/>
        </xdr:cNvSpPr>
      </xdr:nvSpPr>
      <xdr:spPr>
        <a:xfrm>
          <a:off x="2657475" y="1066800"/>
          <a:ext cx="295275" cy="190500"/>
        </a:xfrm>
        <a:prstGeom prst="roundRect">
          <a:avLst/>
        </a:prstGeom>
        <a:solidFill>
          <a:srgbClr val="FFFFFF"/>
        </a:solidFill>
        <a:ln w="25400" cmpd="dbl">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近鉄</a:t>
          </a:r>
        </a:p>
      </xdr:txBody>
    </xdr:sp>
    <xdr:clientData/>
  </xdr:twoCellAnchor>
  <xdr:twoCellAnchor>
    <xdr:from>
      <xdr:col>3</xdr:col>
      <xdr:colOff>57150</xdr:colOff>
      <xdr:row>10</xdr:row>
      <xdr:rowOff>200025</xdr:rowOff>
    </xdr:from>
    <xdr:to>
      <xdr:col>3</xdr:col>
      <xdr:colOff>352425</xdr:colOff>
      <xdr:row>10</xdr:row>
      <xdr:rowOff>381000</xdr:rowOff>
    </xdr:to>
    <xdr:sp>
      <xdr:nvSpPr>
        <xdr:cNvPr id="15" name="Rectangle 12"/>
        <xdr:cNvSpPr>
          <a:spLocks/>
        </xdr:cNvSpPr>
      </xdr:nvSpPr>
      <xdr:spPr>
        <a:xfrm>
          <a:off x="1343025" y="4581525"/>
          <a:ext cx="295275" cy="190500"/>
        </a:xfrm>
        <a:prstGeom prst="roundRect">
          <a:avLst/>
        </a:prstGeom>
        <a:solidFill>
          <a:srgbClr val="FFFFFF"/>
        </a:solidFill>
        <a:ln w="25400" cmpd="dbl">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京阪</a:t>
          </a:r>
        </a:p>
      </xdr:txBody>
    </xdr:sp>
    <xdr:clientData/>
  </xdr:twoCellAnchor>
  <xdr:twoCellAnchor>
    <xdr:from>
      <xdr:col>3</xdr:col>
      <xdr:colOff>85725</xdr:colOff>
      <xdr:row>2</xdr:row>
      <xdr:rowOff>190500</xdr:rowOff>
    </xdr:from>
    <xdr:to>
      <xdr:col>3</xdr:col>
      <xdr:colOff>381000</xdr:colOff>
      <xdr:row>2</xdr:row>
      <xdr:rowOff>381000</xdr:rowOff>
    </xdr:to>
    <xdr:sp>
      <xdr:nvSpPr>
        <xdr:cNvPr id="16" name="Rectangle 16"/>
        <xdr:cNvSpPr>
          <a:spLocks/>
        </xdr:cNvSpPr>
      </xdr:nvSpPr>
      <xdr:spPr>
        <a:xfrm>
          <a:off x="1371600" y="1066800"/>
          <a:ext cx="295275" cy="190500"/>
        </a:xfrm>
        <a:prstGeom prst="roundRect">
          <a:avLst/>
        </a:prstGeom>
        <a:solidFill>
          <a:srgbClr val="FFFFFF"/>
        </a:solidFill>
        <a:ln w="25400" cmpd="dbl">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地下</a:t>
          </a:r>
        </a:p>
      </xdr:txBody>
    </xdr:sp>
    <xdr:clientData/>
  </xdr:twoCellAnchor>
  <xdr:twoCellAnchor>
    <xdr:from>
      <xdr:col>4</xdr:col>
      <xdr:colOff>76200</xdr:colOff>
      <xdr:row>10</xdr:row>
      <xdr:rowOff>200025</xdr:rowOff>
    </xdr:from>
    <xdr:to>
      <xdr:col>4</xdr:col>
      <xdr:colOff>371475</xdr:colOff>
      <xdr:row>10</xdr:row>
      <xdr:rowOff>381000</xdr:rowOff>
    </xdr:to>
    <xdr:sp>
      <xdr:nvSpPr>
        <xdr:cNvPr id="17" name="Rectangle 17"/>
        <xdr:cNvSpPr>
          <a:spLocks/>
        </xdr:cNvSpPr>
      </xdr:nvSpPr>
      <xdr:spPr>
        <a:xfrm>
          <a:off x="1790700" y="4581525"/>
          <a:ext cx="295275" cy="190500"/>
        </a:xfrm>
        <a:prstGeom prst="roundRect">
          <a:avLst/>
        </a:prstGeom>
        <a:solidFill>
          <a:srgbClr val="FFFFFF"/>
        </a:solidFill>
        <a:ln w="25400" cmpd="dbl">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阪急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142875</xdr:colOff>
      <xdr:row>1</xdr:row>
      <xdr:rowOff>0</xdr:rowOff>
    </xdr:from>
    <xdr:to>
      <xdr:col>22</xdr:col>
      <xdr:colOff>9525</xdr:colOff>
      <xdr:row>26</xdr:row>
      <xdr:rowOff>66675</xdr:rowOff>
    </xdr:to>
    <xdr:grpSp>
      <xdr:nvGrpSpPr>
        <xdr:cNvPr id="1" name="Group 1"/>
        <xdr:cNvGrpSpPr>
          <a:grpSpLocks/>
        </xdr:cNvGrpSpPr>
      </xdr:nvGrpSpPr>
      <xdr:grpSpPr>
        <a:xfrm rot="5400000">
          <a:off x="714375" y="114300"/>
          <a:ext cx="3486150" cy="4352925"/>
          <a:chOff x="0" y="0"/>
          <a:chExt cx="469" cy="366"/>
        </a:xfrm>
        <a:solidFill>
          <a:srgbClr val="FFFFFF"/>
        </a:solidFill>
      </xdr:grpSpPr>
      <xdr:sp>
        <xdr:nvSpPr>
          <xdr:cNvPr id="2" name="Line 2"/>
          <xdr:cNvSpPr>
            <a:spLocks/>
          </xdr:cNvSpPr>
        </xdr:nvSpPr>
        <xdr:spPr>
          <a:xfrm flipH="1" flipV="1">
            <a:off x="222" y="159"/>
            <a:ext cx="7" cy="41"/>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Oval 3"/>
          <xdr:cNvSpPr>
            <a:spLocks/>
          </xdr:cNvSpPr>
        </xdr:nvSpPr>
        <xdr:spPr>
          <a:xfrm>
            <a:off x="88" y="54"/>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Oval 4"/>
          <xdr:cNvSpPr>
            <a:spLocks/>
          </xdr:cNvSpPr>
        </xdr:nvSpPr>
        <xdr:spPr>
          <a:xfrm>
            <a:off x="198" y="155"/>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Oval 5"/>
          <xdr:cNvSpPr>
            <a:spLocks/>
          </xdr:cNvSpPr>
        </xdr:nvSpPr>
        <xdr:spPr>
          <a:xfrm>
            <a:off x="198" y="355"/>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Oval 6"/>
          <xdr:cNvSpPr>
            <a:spLocks/>
          </xdr:cNvSpPr>
        </xdr:nvSpPr>
        <xdr:spPr>
          <a:xfrm>
            <a:off x="155" y="142"/>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Oval 7"/>
          <xdr:cNvSpPr>
            <a:spLocks/>
          </xdr:cNvSpPr>
        </xdr:nvSpPr>
        <xdr:spPr>
          <a:xfrm>
            <a:off x="125" y="234"/>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Oval 8"/>
          <xdr:cNvSpPr>
            <a:spLocks/>
          </xdr:cNvSpPr>
        </xdr:nvSpPr>
        <xdr:spPr>
          <a:xfrm>
            <a:off x="198" y="275"/>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Oval 9"/>
          <xdr:cNvSpPr>
            <a:spLocks/>
          </xdr:cNvSpPr>
        </xdr:nvSpPr>
        <xdr:spPr>
          <a:xfrm>
            <a:off x="161" y="215"/>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10"/>
          <xdr:cNvSpPr>
            <a:spLocks/>
          </xdr:cNvSpPr>
        </xdr:nvSpPr>
        <xdr:spPr>
          <a:xfrm>
            <a:off x="162" y="174"/>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11"/>
          <xdr:cNvSpPr>
            <a:spLocks/>
          </xdr:cNvSpPr>
        </xdr:nvSpPr>
        <xdr:spPr>
          <a:xfrm>
            <a:off x="199" y="113"/>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Oval 12"/>
          <xdr:cNvSpPr>
            <a:spLocks/>
          </xdr:cNvSpPr>
        </xdr:nvSpPr>
        <xdr:spPr>
          <a:xfrm>
            <a:off x="198" y="236"/>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Oval 13"/>
          <xdr:cNvSpPr>
            <a:spLocks/>
          </xdr:cNvSpPr>
        </xdr:nvSpPr>
        <xdr:spPr>
          <a:xfrm>
            <a:off x="273" y="114"/>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Oval 14"/>
          <xdr:cNvSpPr>
            <a:spLocks/>
          </xdr:cNvSpPr>
        </xdr:nvSpPr>
        <xdr:spPr>
          <a:xfrm>
            <a:off x="421" y="234"/>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Oval 15"/>
          <xdr:cNvSpPr>
            <a:spLocks/>
          </xdr:cNvSpPr>
        </xdr:nvSpPr>
        <xdr:spPr>
          <a:xfrm>
            <a:off x="383" y="55"/>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Oval 16"/>
          <xdr:cNvSpPr>
            <a:spLocks/>
          </xdr:cNvSpPr>
        </xdr:nvSpPr>
        <xdr:spPr>
          <a:xfrm>
            <a:off x="457" y="254"/>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Oval 17"/>
          <xdr:cNvSpPr>
            <a:spLocks/>
          </xdr:cNvSpPr>
        </xdr:nvSpPr>
        <xdr:spPr>
          <a:xfrm>
            <a:off x="125" y="115"/>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Oval 18"/>
          <xdr:cNvSpPr>
            <a:spLocks/>
          </xdr:cNvSpPr>
        </xdr:nvSpPr>
        <xdr:spPr>
          <a:xfrm>
            <a:off x="167" y="127"/>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Oval 19"/>
          <xdr:cNvSpPr>
            <a:spLocks/>
          </xdr:cNvSpPr>
        </xdr:nvSpPr>
        <xdr:spPr>
          <a:xfrm>
            <a:off x="229" y="142"/>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Oval 20"/>
          <xdr:cNvSpPr>
            <a:spLocks/>
          </xdr:cNvSpPr>
        </xdr:nvSpPr>
        <xdr:spPr>
          <a:xfrm>
            <a:off x="241" y="127"/>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Oval 21"/>
          <xdr:cNvSpPr>
            <a:spLocks/>
          </xdr:cNvSpPr>
        </xdr:nvSpPr>
        <xdr:spPr>
          <a:xfrm>
            <a:off x="340" y="202"/>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Oval 22"/>
          <xdr:cNvSpPr>
            <a:spLocks/>
          </xdr:cNvSpPr>
        </xdr:nvSpPr>
        <xdr:spPr>
          <a:xfrm>
            <a:off x="352" y="187"/>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AutoShape 23"/>
          <xdr:cNvSpPr>
            <a:spLocks/>
          </xdr:cNvSpPr>
        </xdr:nvSpPr>
        <xdr:spPr>
          <a:xfrm>
            <a:off x="162" y="254"/>
            <a:ext cx="11" cy="13"/>
          </a:xfrm>
          <a:prstGeom prst="triangle">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AutoShape 24"/>
          <xdr:cNvSpPr>
            <a:spLocks/>
          </xdr:cNvSpPr>
        </xdr:nvSpPr>
        <xdr:spPr>
          <a:xfrm>
            <a:off x="162" y="294"/>
            <a:ext cx="11" cy="13"/>
          </a:xfrm>
          <a:prstGeom prst="triangle">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AutoShape 25"/>
          <xdr:cNvSpPr>
            <a:spLocks/>
          </xdr:cNvSpPr>
        </xdr:nvSpPr>
        <xdr:spPr>
          <a:xfrm>
            <a:off x="162" y="334"/>
            <a:ext cx="11" cy="13"/>
          </a:xfrm>
          <a:prstGeom prst="triangle">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AutoShape 26"/>
          <xdr:cNvSpPr>
            <a:spLocks/>
          </xdr:cNvSpPr>
        </xdr:nvSpPr>
        <xdr:spPr>
          <a:xfrm>
            <a:off x="88" y="294"/>
            <a:ext cx="11" cy="13"/>
          </a:xfrm>
          <a:prstGeom prst="triangle">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AutoShape 27"/>
          <xdr:cNvSpPr>
            <a:spLocks/>
          </xdr:cNvSpPr>
        </xdr:nvSpPr>
        <xdr:spPr>
          <a:xfrm>
            <a:off x="88" y="334"/>
            <a:ext cx="11" cy="13"/>
          </a:xfrm>
          <a:prstGeom prst="triangle">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AutoShape 28"/>
          <xdr:cNvSpPr>
            <a:spLocks/>
          </xdr:cNvSpPr>
        </xdr:nvSpPr>
        <xdr:spPr>
          <a:xfrm>
            <a:off x="51" y="154"/>
            <a:ext cx="11" cy="13"/>
          </a:xfrm>
          <a:prstGeom prst="triangle">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AutoShape 29"/>
          <xdr:cNvSpPr>
            <a:spLocks/>
          </xdr:cNvSpPr>
        </xdr:nvSpPr>
        <xdr:spPr>
          <a:xfrm>
            <a:off x="51" y="194"/>
            <a:ext cx="11" cy="13"/>
          </a:xfrm>
          <a:prstGeom prst="triangle">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AutoShape 30"/>
          <xdr:cNvSpPr>
            <a:spLocks/>
          </xdr:cNvSpPr>
        </xdr:nvSpPr>
        <xdr:spPr>
          <a:xfrm>
            <a:off x="51" y="234"/>
            <a:ext cx="11" cy="13"/>
          </a:xfrm>
          <a:prstGeom prst="triangle">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AutoShape 31"/>
          <xdr:cNvSpPr>
            <a:spLocks/>
          </xdr:cNvSpPr>
        </xdr:nvSpPr>
        <xdr:spPr>
          <a:xfrm>
            <a:off x="88" y="174"/>
            <a:ext cx="11" cy="13"/>
          </a:xfrm>
          <a:prstGeom prst="triangle">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AutoShape 32"/>
          <xdr:cNvSpPr>
            <a:spLocks/>
          </xdr:cNvSpPr>
        </xdr:nvSpPr>
        <xdr:spPr>
          <a:xfrm>
            <a:off x="88" y="214"/>
            <a:ext cx="11" cy="13"/>
          </a:xfrm>
          <a:prstGeom prst="triangle">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AutoShape 33"/>
          <xdr:cNvSpPr>
            <a:spLocks/>
          </xdr:cNvSpPr>
        </xdr:nvSpPr>
        <xdr:spPr>
          <a:xfrm>
            <a:off x="88" y="134"/>
            <a:ext cx="11" cy="13"/>
          </a:xfrm>
          <a:prstGeom prst="triangle">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AutoShape 34"/>
          <xdr:cNvSpPr>
            <a:spLocks/>
          </xdr:cNvSpPr>
        </xdr:nvSpPr>
        <xdr:spPr>
          <a:xfrm>
            <a:off x="236" y="54"/>
            <a:ext cx="11" cy="13"/>
          </a:xfrm>
          <a:prstGeom prst="triangle">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AutoShape 35"/>
          <xdr:cNvSpPr>
            <a:spLocks/>
          </xdr:cNvSpPr>
        </xdr:nvSpPr>
        <xdr:spPr>
          <a:xfrm>
            <a:off x="199" y="74"/>
            <a:ext cx="11" cy="13"/>
          </a:xfrm>
          <a:prstGeom prst="triangle">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AutoShape 36"/>
          <xdr:cNvSpPr>
            <a:spLocks/>
          </xdr:cNvSpPr>
        </xdr:nvSpPr>
        <xdr:spPr>
          <a:xfrm>
            <a:off x="273" y="74"/>
            <a:ext cx="11" cy="13"/>
          </a:xfrm>
          <a:prstGeom prst="triangle">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AutoShape 37"/>
          <xdr:cNvSpPr>
            <a:spLocks/>
          </xdr:cNvSpPr>
        </xdr:nvSpPr>
        <xdr:spPr>
          <a:xfrm>
            <a:off x="310" y="94"/>
            <a:ext cx="11" cy="13"/>
          </a:xfrm>
          <a:prstGeom prst="triangle">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AutoShape 38"/>
          <xdr:cNvSpPr>
            <a:spLocks/>
          </xdr:cNvSpPr>
        </xdr:nvSpPr>
        <xdr:spPr>
          <a:xfrm>
            <a:off x="347" y="74"/>
            <a:ext cx="11" cy="13"/>
          </a:xfrm>
          <a:prstGeom prst="triangle">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AutoShape 39"/>
          <xdr:cNvSpPr>
            <a:spLocks/>
          </xdr:cNvSpPr>
        </xdr:nvSpPr>
        <xdr:spPr>
          <a:xfrm>
            <a:off x="384" y="94"/>
            <a:ext cx="11" cy="13"/>
          </a:xfrm>
          <a:prstGeom prst="triangle">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AutoShape 40"/>
          <xdr:cNvSpPr>
            <a:spLocks/>
          </xdr:cNvSpPr>
        </xdr:nvSpPr>
        <xdr:spPr>
          <a:xfrm>
            <a:off x="421" y="114"/>
            <a:ext cx="11" cy="13"/>
          </a:xfrm>
          <a:prstGeom prst="triangle">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AutoShape 41"/>
          <xdr:cNvSpPr>
            <a:spLocks/>
          </xdr:cNvSpPr>
        </xdr:nvSpPr>
        <xdr:spPr>
          <a:xfrm>
            <a:off x="458" y="173"/>
            <a:ext cx="11" cy="13"/>
          </a:xfrm>
          <a:prstGeom prst="triangle">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AutoShape 42"/>
          <xdr:cNvSpPr>
            <a:spLocks/>
          </xdr:cNvSpPr>
        </xdr:nvSpPr>
        <xdr:spPr>
          <a:xfrm>
            <a:off x="458" y="214"/>
            <a:ext cx="11" cy="13"/>
          </a:xfrm>
          <a:prstGeom prst="triangle">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43"/>
          <xdr:cNvSpPr>
            <a:spLocks/>
          </xdr:cNvSpPr>
        </xdr:nvSpPr>
        <xdr:spPr>
          <a:xfrm>
            <a:off x="57" y="60"/>
            <a:ext cx="0" cy="8"/>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44"/>
          <xdr:cNvSpPr>
            <a:spLocks/>
          </xdr:cNvSpPr>
        </xdr:nvSpPr>
        <xdr:spPr>
          <a:xfrm flipV="1">
            <a:off x="71" y="69"/>
            <a:ext cx="5" cy="6"/>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AutoShape 45"/>
          <xdr:cNvSpPr>
            <a:spLocks/>
          </xdr:cNvSpPr>
        </xdr:nvSpPr>
        <xdr:spPr>
          <a:xfrm>
            <a:off x="57" y="44"/>
            <a:ext cx="18" cy="16"/>
          </a:xfrm>
          <a:custGeom>
            <a:pathLst>
              <a:path h="13" w="18">
                <a:moveTo>
                  <a:pt x="0" y="13"/>
                </a:moveTo>
                <a:cubicBezTo>
                  <a:pt x="0" y="11"/>
                  <a:pt x="0" y="10"/>
                  <a:pt x="0" y="8"/>
                </a:cubicBezTo>
                <a:cubicBezTo>
                  <a:pt x="0" y="6"/>
                  <a:pt x="1" y="4"/>
                  <a:pt x="2" y="3"/>
                </a:cubicBezTo>
                <a:cubicBezTo>
                  <a:pt x="3" y="2"/>
                  <a:pt x="5" y="0"/>
                  <a:pt x="7" y="0"/>
                </a:cubicBezTo>
                <a:cubicBezTo>
                  <a:pt x="9" y="0"/>
                  <a:pt x="11" y="0"/>
                  <a:pt x="13" y="1"/>
                </a:cubicBezTo>
                <a:cubicBezTo>
                  <a:pt x="15" y="2"/>
                  <a:pt x="16" y="3"/>
                  <a:pt x="18" y="5"/>
                </a:cubicBezTo>
              </a:path>
            </a:pathLst>
          </a:cu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46"/>
          <xdr:cNvSpPr>
            <a:spLocks/>
          </xdr:cNvSpPr>
        </xdr:nvSpPr>
        <xdr:spPr>
          <a:xfrm>
            <a:off x="58" y="87"/>
            <a:ext cx="18" cy="3"/>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47"/>
          <xdr:cNvSpPr>
            <a:spLocks/>
          </xdr:cNvSpPr>
        </xdr:nvSpPr>
        <xdr:spPr>
          <a:xfrm>
            <a:off x="147" y="89"/>
            <a:ext cx="39" cy="2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Oval 48"/>
          <xdr:cNvSpPr>
            <a:spLocks/>
          </xdr:cNvSpPr>
        </xdr:nvSpPr>
        <xdr:spPr>
          <a:xfrm>
            <a:off x="162" y="94"/>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Line 49"/>
          <xdr:cNvSpPr>
            <a:spLocks/>
          </xdr:cNvSpPr>
        </xdr:nvSpPr>
        <xdr:spPr>
          <a:xfrm>
            <a:off x="352" y="99"/>
            <a:ext cx="0" cy="42"/>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Oval 50"/>
          <xdr:cNvSpPr>
            <a:spLocks/>
          </xdr:cNvSpPr>
        </xdr:nvSpPr>
        <xdr:spPr>
          <a:xfrm>
            <a:off x="347" y="115"/>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Line 51"/>
          <xdr:cNvSpPr>
            <a:spLocks/>
          </xdr:cNvSpPr>
        </xdr:nvSpPr>
        <xdr:spPr>
          <a:xfrm>
            <a:off x="259" y="149"/>
            <a:ext cx="11" cy="13"/>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Line 52"/>
          <xdr:cNvSpPr>
            <a:spLocks/>
          </xdr:cNvSpPr>
        </xdr:nvSpPr>
        <xdr:spPr>
          <a:xfrm>
            <a:off x="278" y="140"/>
            <a:ext cx="0" cy="12"/>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Oval 53"/>
          <xdr:cNvSpPr>
            <a:spLocks/>
          </xdr:cNvSpPr>
        </xdr:nvSpPr>
        <xdr:spPr>
          <a:xfrm>
            <a:off x="273" y="149"/>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Oval 54"/>
          <xdr:cNvSpPr>
            <a:spLocks/>
          </xdr:cNvSpPr>
        </xdr:nvSpPr>
        <xdr:spPr>
          <a:xfrm>
            <a:off x="265" y="160"/>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55"/>
          <xdr:cNvSpPr>
            <a:spLocks/>
          </xdr:cNvSpPr>
        </xdr:nvSpPr>
        <xdr:spPr>
          <a:xfrm flipV="1">
            <a:off x="221" y="181"/>
            <a:ext cx="21" cy="9"/>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56"/>
          <xdr:cNvSpPr>
            <a:spLocks/>
          </xdr:cNvSpPr>
        </xdr:nvSpPr>
        <xdr:spPr>
          <a:xfrm>
            <a:off x="222" y="170"/>
            <a:ext cx="19"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7" name="Group 57"/>
          <xdr:cNvGrpSpPr>
            <a:grpSpLocks/>
          </xdr:cNvGrpSpPr>
        </xdr:nvGrpSpPr>
        <xdr:grpSpPr>
          <a:xfrm>
            <a:off x="237" y="169"/>
            <a:ext cx="11" cy="24"/>
            <a:chOff x="237" y="169"/>
            <a:chExt cx="11" cy="24"/>
          </a:xfrm>
          <a:solidFill>
            <a:srgbClr val="FFFFFF"/>
          </a:solidFill>
        </xdr:grpSpPr>
        <xdr:sp>
          <xdr:nvSpPr>
            <xdr:cNvPr id="58" name="Rectangle 58"/>
            <xdr:cNvSpPr>
              <a:spLocks/>
            </xdr:cNvSpPr>
          </xdr:nvSpPr>
          <xdr:spPr>
            <a:xfrm>
              <a:off x="237" y="169"/>
              <a:ext cx="11" cy="23"/>
            </a:xfrm>
            <a:prstGeom prst="roundRect">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Oval 59"/>
            <xdr:cNvSpPr>
              <a:spLocks/>
            </xdr:cNvSpPr>
          </xdr:nvSpPr>
          <xdr:spPr>
            <a:xfrm>
              <a:off x="237" y="169"/>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Oval 60"/>
            <xdr:cNvSpPr>
              <a:spLocks/>
            </xdr:cNvSpPr>
          </xdr:nvSpPr>
          <xdr:spPr>
            <a:xfrm>
              <a:off x="237" y="182"/>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1" name="Line 61"/>
          <xdr:cNvSpPr>
            <a:spLocks/>
          </xdr:cNvSpPr>
        </xdr:nvSpPr>
        <xdr:spPr>
          <a:xfrm>
            <a:off x="258" y="189"/>
            <a:ext cx="19"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62"/>
          <xdr:cNvSpPr>
            <a:spLocks/>
          </xdr:cNvSpPr>
        </xdr:nvSpPr>
        <xdr:spPr>
          <a:xfrm>
            <a:off x="278" y="180"/>
            <a:ext cx="0" cy="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Oval 63"/>
          <xdr:cNvSpPr>
            <a:spLocks/>
          </xdr:cNvSpPr>
        </xdr:nvSpPr>
        <xdr:spPr>
          <a:xfrm>
            <a:off x="272" y="195"/>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Line 64"/>
          <xdr:cNvSpPr>
            <a:spLocks/>
          </xdr:cNvSpPr>
        </xdr:nvSpPr>
        <xdr:spPr>
          <a:xfrm>
            <a:off x="315" y="180"/>
            <a:ext cx="19"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65"/>
          <xdr:cNvSpPr>
            <a:spLocks/>
          </xdr:cNvSpPr>
        </xdr:nvSpPr>
        <xdr:spPr>
          <a:xfrm flipV="1">
            <a:off x="315" y="169"/>
            <a:ext cx="19"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Oval 66"/>
          <xdr:cNvSpPr>
            <a:spLocks/>
          </xdr:cNvSpPr>
        </xdr:nvSpPr>
        <xdr:spPr>
          <a:xfrm>
            <a:off x="310" y="175"/>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67"/>
          <xdr:cNvSpPr>
            <a:spLocks/>
          </xdr:cNvSpPr>
        </xdr:nvSpPr>
        <xdr:spPr>
          <a:xfrm flipH="1" flipV="1">
            <a:off x="284" y="44"/>
            <a:ext cx="13" cy="6"/>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Oval 68"/>
          <xdr:cNvSpPr>
            <a:spLocks/>
          </xdr:cNvSpPr>
        </xdr:nvSpPr>
        <xdr:spPr>
          <a:xfrm>
            <a:off x="278" y="38"/>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Arc 69"/>
          <xdr:cNvSpPr>
            <a:spLocks/>
          </xdr:cNvSpPr>
        </xdr:nvSpPr>
        <xdr:spPr>
          <a:xfrm>
            <a:off x="245" y="31"/>
            <a:ext cx="33"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Arc 70"/>
          <xdr:cNvSpPr>
            <a:spLocks/>
          </xdr:cNvSpPr>
        </xdr:nvSpPr>
        <xdr:spPr>
          <a:xfrm rot="18208223">
            <a:off x="221" y="21"/>
            <a:ext cx="34" cy="34"/>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Arc 71"/>
          <xdr:cNvSpPr>
            <a:spLocks/>
          </xdr:cNvSpPr>
        </xdr:nvSpPr>
        <xdr:spPr>
          <a:xfrm>
            <a:off x="246" y="32"/>
            <a:ext cx="32" cy="31"/>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 name="Arc 72"/>
          <xdr:cNvSpPr>
            <a:spLocks/>
          </xdr:cNvSpPr>
        </xdr:nvSpPr>
        <xdr:spPr>
          <a:xfrm rot="18208223">
            <a:off x="110" y="40"/>
            <a:ext cx="34" cy="34"/>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Line 73"/>
          <xdr:cNvSpPr>
            <a:spLocks/>
          </xdr:cNvSpPr>
        </xdr:nvSpPr>
        <xdr:spPr>
          <a:xfrm flipV="1">
            <a:off x="112" y="30"/>
            <a:ext cx="27" cy="2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Oval 74"/>
          <xdr:cNvSpPr>
            <a:spLocks/>
          </xdr:cNvSpPr>
        </xdr:nvSpPr>
        <xdr:spPr>
          <a:xfrm>
            <a:off x="131" y="26"/>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Oval 75"/>
          <xdr:cNvSpPr>
            <a:spLocks/>
          </xdr:cNvSpPr>
        </xdr:nvSpPr>
        <xdr:spPr>
          <a:xfrm>
            <a:off x="51" y="68"/>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Oval 76"/>
          <xdr:cNvSpPr>
            <a:spLocks/>
          </xdr:cNvSpPr>
        </xdr:nvSpPr>
        <xdr:spPr>
          <a:xfrm>
            <a:off x="52" y="82"/>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Oval 77"/>
          <xdr:cNvSpPr>
            <a:spLocks/>
          </xdr:cNvSpPr>
        </xdr:nvSpPr>
        <xdr:spPr>
          <a:xfrm>
            <a:off x="63" y="73"/>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Line 78"/>
          <xdr:cNvSpPr>
            <a:spLocks/>
          </xdr:cNvSpPr>
        </xdr:nvSpPr>
        <xdr:spPr>
          <a:xfrm>
            <a:off x="204" y="299"/>
            <a:ext cx="0" cy="42"/>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Line 79"/>
          <xdr:cNvSpPr>
            <a:spLocks/>
          </xdr:cNvSpPr>
        </xdr:nvSpPr>
        <xdr:spPr>
          <a:xfrm>
            <a:off x="130" y="300"/>
            <a:ext cx="0" cy="42"/>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Line 80"/>
          <xdr:cNvSpPr>
            <a:spLocks/>
          </xdr:cNvSpPr>
        </xdr:nvSpPr>
        <xdr:spPr>
          <a:xfrm>
            <a:off x="130" y="319"/>
            <a:ext cx="19"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Oval 81"/>
          <xdr:cNvSpPr>
            <a:spLocks/>
          </xdr:cNvSpPr>
        </xdr:nvSpPr>
        <xdr:spPr>
          <a:xfrm>
            <a:off x="125" y="314"/>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Oval 82"/>
          <xdr:cNvSpPr>
            <a:spLocks/>
          </xdr:cNvSpPr>
        </xdr:nvSpPr>
        <xdr:spPr>
          <a:xfrm>
            <a:off x="264" y="34"/>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 name="Oval 83"/>
          <xdr:cNvSpPr>
            <a:spLocks/>
          </xdr:cNvSpPr>
        </xdr:nvSpPr>
        <xdr:spPr>
          <a:xfrm>
            <a:off x="349" y="36"/>
            <a:ext cx="8" cy="8"/>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Oval 84"/>
          <xdr:cNvSpPr>
            <a:spLocks/>
          </xdr:cNvSpPr>
        </xdr:nvSpPr>
        <xdr:spPr>
          <a:xfrm>
            <a:off x="311" y="57"/>
            <a:ext cx="8" cy="8"/>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 name="Oval 85"/>
          <xdr:cNvSpPr>
            <a:spLocks/>
          </xdr:cNvSpPr>
        </xdr:nvSpPr>
        <xdr:spPr>
          <a:xfrm>
            <a:off x="231" y="102"/>
            <a:ext cx="8" cy="8"/>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 name="Oval 86"/>
          <xdr:cNvSpPr>
            <a:spLocks/>
          </xdr:cNvSpPr>
        </xdr:nvSpPr>
        <xdr:spPr>
          <a:xfrm>
            <a:off x="243" y="89"/>
            <a:ext cx="8" cy="8"/>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 name="Oval 87"/>
          <xdr:cNvSpPr>
            <a:spLocks/>
          </xdr:cNvSpPr>
        </xdr:nvSpPr>
        <xdr:spPr>
          <a:xfrm>
            <a:off x="386" y="216"/>
            <a:ext cx="8" cy="8"/>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 name="Oval 88"/>
          <xdr:cNvSpPr>
            <a:spLocks/>
          </xdr:cNvSpPr>
        </xdr:nvSpPr>
        <xdr:spPr>
          <a:xfrm>
            <a:off x="127" y="276"/>
            <a:ext cx="8" cy="8"/>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Oval 89"/>
          <xdr:cNvSpPr>
            <a:spLocks/>
          </xdr:cNvSpPr>
        </xdr:nvSpPr>
        <xdr:spPr>
          <a:xfrm>
            <a:off x="127" y="356"/>
            <a:ext cx="8" cy="8"/>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 name="Line 90"/>
          <xdr:cNvSpPr>
            <a:spLocks/>
          </xdr:cNvSpPr>
        </xdr:nvSpPr>
        <xdr:spPr>
          <a:xfrm flipV="1">
            <a:off x="186" y="0"/>
            <a:ext cx="63" cy="61"/>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 name="Line 91"/>
          <xdr:cNvSpPr>
            <a:spLocks/>
          </xdr:cNvSpPr>
        </xdr:nvSpPr>
        <xdr:spPr>
          <a:xfrm flipV="1">
            <a:off x="0" y="106"/>
            <a:ext cx="81" cy="7"/>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 name="Line 92"/>
          <xdr:cNvSpPr>
            <a:spLocks/>
          </xdr:cNvSpPr>
        </xdr:nvSpPr>
        <xdr:spPr>
          <a:xfrm flipV="1">
            <a:off x="80" y="80"/>
            <a:ext cx="16" cy="27"/>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 name="Line 93"/>
          <xdr:cNvSpPr>
            <a:spLocks/>
          </xdr:cNvSpPr>
        </xdr:nvSpPr>
        <xdr:spPr>
          <a:xfrm flipV="1">
            <a:off x="103" y="38"/>
            <a:ext cx="1" cy="42"/>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Line 94"/>
          <xdr:cNvSpPr>
            <a:spLocks/>
          </xdr:cNvSpPr>
        </xdr:nvSpPr>
        <xdr:spPr>
          <a:xfrm>
            <a:off x="103" y="60"/>
            <a:ext cx="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 name="Line 95"/>
          <xdr:cNvSpPr>
            <a:spLocks/>
          </xdr:cNvSpPr>
        </xdr:nvSpPr>
        <xdr:spPr>
          <a:xfrm flipV="1">
            <a:off x="144" y="60"/>
            <a:ext cx="4" cy="1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 name="Line 96"/>
          <xdr:cNvSpPr>
            <a:spLocks/>
          </xdr:cNvSpPr>
        </xdr:nvSpPr>
        <xdr:spPr>
          <a:xfrm>
            <a:off x="143" y="70"/>
            <a:ext cx="5" cy="1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 name="Line 97"/>
          <xdr:cNvSpPr>
            <a:spLocks/>
          </xdr:cNvSpPr>
        </xdr:nvSpPr>
        <xdr:spPr>
          <a:xfrm flipV="1">
            <a:off x="74" y="240"/>
            <a:ext cx="75" cy="24"/>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98" name="Group 98"/>
          <xdr:cNvGrpSpPr>
            <a:grpSpLocks/>
          </xdr:cNvGrpSpPr>
        </xdr:nvGrpSpPr>
        <xdr:grpSpPr>
          <a:xfrm>
            <a:off x="113" y="313"/>
            <a:ext cx="15" cy="15"/>
            <a:chOff x="663" y="56"/>
            <a:chExt cx="15" cy="15"/>
          </a:xfrm>
          <a:solidFill>
            <a:srgbClr val="FFFFFF"/>
          </a:solidFill>
        </xdr:grpSpPr>
        <xdr:sp>
          <xdr:nvSpPr>
            <xdr:cNvPr id="99" name="Oval 99"/>
            <xdr:cNvSpPr>
              <a:spLocks/>
            </xdr:cNvSpPr>
          </xdr:nvSpPr>
          <xdr:spPr>
            <a:xfrm>
              <a:off x="665" y="59"/>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100" name="Oval 100"/>
            <xdr:cNvSpPr>
              <a:spLocks/>
            </xdr:cNvSpPr>
          </xdr:nvSpPr>
          <xdr:spPr>
            <a:xfrm>
              <a:off x="663" y="56"/>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a:t>
              </a:r>
            </a:p>
          </xdr:txBody>
        </xdr:sp>
      </xdr:grpSp>
      <xdr:grpSp>
        <xdr:nvGrpSpPr>
          <xdr:cNvPr id="101" name="Group 101"/>
          <xdr:cNvGrpSpPr>
            <a:grpSpLocks/>
          </xdr:cNvGrpSpPr>
        </xdr:nvGrpSpPr>
        <xdr:grpSpPr>
          <a:xfrm>
            <a:off x="136" y="32"/>
            <a:ext cx="15" cy="15"/>
            <a:chOff x="663" y="56"/>
            <a:chExt cx="15" cy="15"/>
          </a:xfrm>
          <a:solidFill>
            <a:srgbClr val="FFFFFF"/>
          </a:solidFill>
        </xdr:grpSpPr>
        <xdr:sp>
          <xdr:nvSpPr>
            <xdr:cNvPr id="102" name="Oval 102"/>
            <xdr:cNvSpPr>
              <a:spLocks/>
            </xdr:cNvSpPr>
          </xdr:nvSpPr>
          <xdr:spPr>
            <a:xfrm>
              <a:off x="665" y="59"/>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103" name="Oval 103"/>
            <xdr:cNvSpPr>
              <a:spLocks/>
            </xdr:cNvSpPr>
          </xdr:nvSpPr>
          <xdr:spPr>
            <a:xfrm>
              <a:off x="663" y="56"/>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a:t>
              </a:r>
            </a:p>
          </xdr:txBody>
        </xdr:sp>
      </xdr:grpSp>
      <xdr:grpSp>
        <xdr:nvGrpSpPr>
          <xdr:cNvPr id="104" name="Group 104"/>
          <xdr:cNvGrpSpPr>
            <a:grpSpLocks/>
          </xdr:cNvGrpSpPr>
        </xdr:nvGrpSpPr>
        <xdr:grpSpPr>
          <a:xfrm>
            <a:off x="152" y="102"/>
            <a:ext cx="15" cy="15"/>
            <a:chOff x="663" y="56"/>
            <a:chExt cx="15" cy="15"/>
          </a:xfrm>
          <a:solidFill>
            <a:srgbClr val="FFFFFF"/>
          </a:solidFill>
        </xdr:grpSpPr>
        <xdr:sp>
          <xdr:nvSpPr>
            <xdr:cNvPr id="105" name="Oval 105"/>
            <xdr:cNvSpPr>
              <a:spLocks/>
            </xdr:cNvSpPr>
          </xdr:nvSpPr>
          <xdr:spPr>
            <a:xfrm>
              <a:off x="665" y="59"/>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106" name="Oval 106"/>
            <xdr:cNvSpPr>
              <a:spLocks/>
            </xdr:cNvSpPr>
          </xdr:nvSpPr>
          <xdr:spPr>
            <a:xfrm>
              <a:off x="663" y="56"/>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a:t>
              </a:r>
            </a:p>
          </xdr:txBody>
        </xdr:sp>
      </xdr:grpSp>
      <xdr:grpSp>
        <xdr:nvGrpSpPr>
          <xdr:cNvPr id="107" name="Group 107"/>
          <xdr:cNvGrpSpPr>
            <a:grpSpLocks/>
          </xdr:cNvGrpSpPr>
        </xdr:nvGrpSpPr>
        <xdr:grpSpPr>
          <a:xfrm>
            <a:off x="356" y="121"/>
            <a:ext cx="15" cy="15"/>
            <a:chOff x="663" y="56"/>
            <a:chExt cx="15" cy="15"/>
          </a:xfrm>
          <a:solidFill>
            <a:srgbClr val="FFFFFF"/>
          </a:solidFill>
        </xdr:grpSpPr>
        <xdr:sp>
          <xdr:nvSpPr>
            <xdr:cNvPr id="108" name="Oval 108"/>
            <xdr:cNvSpPr>
              <a:spLocks/>
            </xdr:cNvSpPr>
          </xdr:nvSpPr>
          <xdr:spPr>
            <a:xfrm>
              <a:off x="665" y="59"/>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109" name="Oval 109"/>
            <xdr:cNvSpPr>
              <a:spLocks/>
            </xdr:cNvSpPr>
          </xdr:nvSpPr>
          <xdr:spPr>
            <a:xfrm>
              <a:off x="663" y="56"/>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a:t>
              </a:r>
            </a:p>
          </xdr:txBody>
        </xdr:sp>
      </xdr:grpSp>
      <xdr:grpSp>
        <xdr:nvGrpSpPr>
          <xdr:cNvPr id="110" name="Group 110"/>
          <xdr:cNvGrpSpPr>
            <a:grpSpLocks/>
          </xdr:cNvGrpSpPr>
        </xdr:nvGrpSpPr>
        <xdr:grpSpPr>
          <a:xfrm>
            <a:off x="38" y="75"/>
            <a:ext cx="15" cy="15"/>
            <a:chOff x="694" y="88"/>
            <a:chExt cx="15" cy="15"/>
          </a:xfrm>
          <a:solidFill>
            <a:srgbClr val="FFFFFF"/>
          </a:solidFill>
        </xdr:grpSpPr>
        <xdr:sp>
          <xdr:nvSpPr>
            <xdr:cNvPr id="111" name="Oval 111"/>
            <xdr:cNvSpPr>
              <a:spLocks/>
            </xdr:cNvSpPr>
          </xdr:nvSpPr>
          <xdr:spPr>
            <a:xfrm>
              <a:off x="697" y="91"/>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112" name="Oval 112"/>
            <xdr:cNvSpPr>
              <a:spLocks/>
            </xdr:cNvSpPr>
          </xdr:nvSpPr>
          <xdr:spPr>
            <a:xfrm>
              <a:off x="694" y="88"/>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a:t>
              </a:r>
            </a:p>
          </xdr:txBody>
        </xdr:sp>
      </xdr:grpSp>
      <xdr:grpSp>
        <xdr:nvGrpSpPr>
          <xdr:cNvPr id="113" name="Group 113"/>
          <xdr:cNvGrpSpPr>
            <a:grpSpLocks/>
          </xdr:cNvGrpSpPr>
        </xdr:nvGrpSpPr>
        <xdr:grpSpPr>
          <a:xfrm>
            <a:off x="246" y="172"/>
            <a:ext cx="15" cy="15"/>
            <a:chOff x="694" y="88"/>
            <a:chExt cx="15" cy="15"/>
          </a:xfrm>
          <a:solidFill>
            <a:srgbClr val="FFFFFF"/>
          </a:solidFill>
        </xdr:grpSpPr>
        <xdr:sp>
          <xdr:nvSpPr>
            <xdr:cNvPr id="114" name="Oval 114"/>
            <xdr:cNvSpPr>
              <a:spLocks/>
            </xdr:cNvSpPr>
          </xdr:nvSpPr>
          <xdr:spPr>
            <a:xfrm>
              <a:off x="697" y="91"/>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115" name="Oval 115"/>
            <xdr:cNvSpPr>
              <a:spLocks/>
            </xdr:cNvSpPr>
          </xdr:nvSpPr>
          <xdr:spPr>
            <a:xfrm>
              <a:off x="694" y="88"/>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a:t>
              </a:r>
            </a:p>
          </xdr:txBody>
        </xdr:sp>
      </xdr:grpSp>
      <xdr:grpSp>
        <xdr:nvGrpSpPr>
          <xdr:cNvPr id="116" name="Group 116"/>
          <xdr:cNvGrpSpPr>
            <a:grpSpLocks/>
          </xdr:cNvGrpSpPr>
        </xdr:nvGrpSpPr>
        <xdr:grpSpPr>
          <a:xfrm>
            <a:off x="274" y="162"/>
            <a:ext cx="15" cy="15"/>
            <a:chOff x="694" y="88"/>
            <a:chExt cx="15" cy="15"/>
          </a:xfrm>
          <a:solidFill>
            <a:srgbClr val="FFFFFF"/>
          </a:solidFill>
        </xdr:grpSpPr>
        <xdr:sp>
          <xdr:nvSpPr>
            <xdr:cNvPr id="117" name="Oval 117"/>
            <xdr:cNvSpPr>
              <a:spLocks/>
            </xdr:cNvSpPr>
          </xdr:nvSpPr>
          <xdr:spPr>
            <a:xfrm>
              <a:off x="697" y="91"/>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118" name="Oval 118"/>
            <xdr:cNvSpPr>
              <a:spLocks/>
            </xdr:cNvSpPr>
          </xdr:nvSpPr>
          <xdr:spPr>
            <a:xfrm>
              <a:off x="694" y="88"/>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a:t>
              </a:r>
            </a:p>
          </xdr:txBody>
        </xdr:sp>
      </xdr:grpSp>
      <xdr:grpSp>
        <xdr:nvGrpSpPr>
          <xdr:cNvPr id="119" name="Group 119"/>
          <xdr:cNvGrpSpPr>
            <a:grpSpLocks/>
          </xdr:cNvGrpSpPr>
        </xdr:nvGrpSpPr>
        <xdr:grpSpPr>
          <a:xfrm>
            <a:off x="299" y="183"/>
            <a:ext cx="15" cy="15"/>
            <a:chOff x="694" y="88"/>
            <a:chExt cx="15" cy="15"/>
          </a:xfrm>
          <a:solidFill>
            <a:srgbClr val="FFFFFF"/>
          </a:solidFill>
        </xdr:grpSpPr>
        <xdr:sp>
          <xdr:nvSpPr>
            <xdr:cNvPr id="120" name="Oval 120"/>
            <xdr:cNvSpPr>
              <a:spLocks/>
            </xdr:cNvSpPr>
          </xdr:nvSpPr>
          <xdr:spPr>
            <a:xfrm>
              <a:off x="697" y="91"/>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121" name="Oval 121"/>
            <xdr:cNvSpPr>
              <a:spLocks/>
            </xdr:cNvSpPr>
          </xdr:nvSpPr>
          <xdr:spPr>
            <a:xfrm>
              <a:off x="694" y="88"/>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a:t>
              </a:r>
            </a:p>
          </xdr:txBody>
        </xdr:sp>
      </xdr:grpSp>
      <xdr:grpSp>
        <xdr:nvGrpSpPr>
          <xdr:cNvPr id="122" name="Group 122"/>
          <xdr:cNvGrpSpPr>
            <a:grpSpLocks/>
          </xdr:cNvGrpSpPr>
        </xdr:nvGrpSpPr>
        <xdr:grpSpPr>
          <a:xfrm>
            <a:off x="279" y="203"/>
            <a:ext cx="15" cy="15"/>
            <a:chOff x="679" y="72"/>
            <a:chExt cx="15" cy="15"/>
          </a:xfrm>
          <a:solidFill>
            <a:srgbClr val="FFFFFF"/>
          </a:solidFill>
        </xdr:grpSpPr>
        <xdr:sp>
          <xdr:nvSpPr>
            <xdr:cNvPr id="123" name="Oval 123"/>
            <xdr:cNvSpPr>
              <a:spLocks/>
            </xdr:cNvSpPr>
          </xdr:nvSpPr>
          <xdr:spPr>
            <a:xfrm>
              <a:off x="681" y="75"/>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124" name="Oval 124"/>
            <xdr:cNvSpPr>
              <a:spLocks/>
            </xdr:cNvSpPr>
          </xdr:nvSpPr>
          <xdr:spPr>
            <a:xfrm>
              <a:off x="679" y="72"/>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3</a:t>
              </a:r>
            </a:p>
          </xdr:txBody>
        </xdr:sp>
      </xdr:grpSp>
      <xdr:grpSp>
        <xdr:nvGrpSpPr>
          <xdr:cNvPr id="125" name="Group 125"/>
          <xdr:cNvGrpSpPr>
            <a:grpSpLocks/>
          </xdr:cNvGrpSpPr>
        </xdr:nvGrpSpPr>
        <xdr:grpSpPr>
          <a:xfrm>
            <a:off x="208" y="323"/>
            <a:ext cx="15" cy="15"/>
            <a:chOff x="679" y="72"/>
            <a:chExt cx="15" cy="15"/>
          </a:xfrm>
          <a:solidFill>
            <a:srgbClr val="FFFFFF"/>
          </a:solidFill>
        </xdr:grpSpPr>
        <xdr:sp>
          <xdr:nvSpPr>
            <xdr:cNvPr id="126" name="Oval 126"/>
            <xdr:cNvSpPr>
              <a:spLocks/>
            </xdr:cNvSpPr>
          </xdr:nvSpPr>
          <xdr:spPr>
            <a:xfrm>
              <a:off x="681" y="75"/>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127" name="Oval 127"/>
            <xdr:cNvSpPr>
              <a:spLocks/>
            </xdr:cNvSpPr>
          </xdr:nvSpPr>
          <xdr:spPr>
            <a:xfrm>
              <a:off x="679" y="72"/>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3</a:t>
              </a:r>
            </a:p>
          </xdr:txBody>
        </xdr:sp>
      </xdr:grpSp>
      <xdr:grpSp>
        <xdr:nvGrpSpPr>
          <xdr:cNvPr id="128" name="Group 128"/>
          <xdr:cNvGrpSpPr>
            <a:grpSpLocks/>
          </xdr:cNvGrpSpPr>
        </xdr:nvGrpSpPr>
        <xdr:grpSpPr>
          <a:xfrm>
            <a:off x="280" y="23"/>
            <a:ext cx="15" cy="15"/>
            <a:chOff x="663" y="56"/>
            <a:chExt cx="15" cy="15"/>
          </a:xfrm>
          <a:solidFill>
            <a:srgbClr val="FFFFFF"/>
          </a:solidFill>
        </xdr:grpSpPr>
        <xdr:sp>
          <xdr:nvSpPr>
            <xdr:cNvPr id="129" name="Oval 129"/>
            <xdr:cNvSpPr>
              <a:spLocks/>
            </xdr:cNvSpPr>
          </xdr:nvSpPr>
          <xdr:spPr>
            <a:xfrm>
              <a:off x="665" y="59"/>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130" name="Oval 130"/>
            <xdr:cNvSpPr>
              <a:spLocks/>
            </xdr:cNvSpPr>
          </xdr:nvSpPr>
          <xdr:spPr>
            <a:xfrm>
              <a:off x="663" y="56"/>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a:t>
              </a:r>
            </a:p>
          </xdr:txBody>
        </xdr:sp>
      </xdr:grpSp>
      <xdr:sp>
        <xdr:nvSpPr>
          <xdr:cNvPr id="131" name="Oval 131"/>
          <xdr:cNvSpPr>
            <a:spLocks/>
          </xdr:cNvSpPr>
        </xdr:nvSpPr>
        <xdr:spPr>
          <a:xfrm>
            <a:off x="198" y="195"/>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2" name="Line 132"/>
          <xdr:cNvSpPr>
            <a:spLocks/>
          </xdr:cNvSpPr>
        </xdr:nvSpPr>
        <xdr:spPr>
          <a:xfrm flipH="1">
            <a:off x="184" y="319"/>
            <a:ext cx="19"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3" name="Oval 133"/>
          <xdr:cNvSpPr>
            <a:spLocks/>
          </xdr:cNvSpPr>
        </xdr:nvSpPr>
        <xdr:spPr>
          <a:xfrm>
            <a:off x="199" y="314"/>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34</xdr:col>
      <xdr:colOff>152400</xdr:colOff>
      <xdr:row>12</xdr:row>
      <xdr:rowOff>28575</xdr:rowOff>
    </xdr:from>
    <xdr:to>
      <xdr:col>36</xdr:col>
      <xdr:colOff>152400</xdr:colOff>
      <xdr:row>14</xdr:row>
      <xdr:rowOff>152400</xdr:rowOff>
    </xdr:to>
    <xdr:grpSp>
      <xdr:nvGrpSpPr>
        <xdr:cNvPr id="134" name="Group 134"/>
        <xdr:cNvGrpSpPr>
          <a:grpSpLocks/>
        </xdr:cNvGrpSpPr>
      </xdr:nvGrpSpPr>
      <xdr:grpSpPr>
        <a:xfrm>
          <a:off x="6629400" y="2028825"/>
          <a:ext cx="381000" cy="466725"/>
          <a:chOff x="209" y="501"/>
          <a:chExt cx="40" cy="49"/>
        </a:xfrm>
        <a:solidFill>
          <a:srgbClr val="FFFFFF"/>
        </a:solidFill>
      </xdr:grpSpPr>
      <xdr:sp>
        <xdr:nvSpPr>
          <xdr:cNvPr id="135" name="AutoShape 135"/>
          <xdr:cNvSpPr>
            <a:spLocks/>
          </xdr:cNvSpPr>
        </xdr:nvSpPr>
        <xdr:spPr>
          <a:xfrm rot="17959183" flipV="1">
            <a:off x="209" y="504"/>
            <a:ext cx="40" cy="46"/>
          </a:xfrm>
          <a:prstGeom prst="hexagon">
            <a:avLst/>
          </a:prstGeom>
          <a:solidFill>
            <a:srgbClr val="00FF00"/>
          </a:solidFill>
          <a:ln w="952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sp>
        <xdr:nvSpPr>
          <xdr:cNvPr id="136" name="Line 136"/>
          <xdr:cNvSpPr>
            <a:spLocks/>
          </xdr:cNvSpPr>
        </xdr:nvSpPr>
        <xdr:spPr>
          <a:xfrm rot="1884309" flipV="1">
            <a:off x="209" y="527"/>
            <a:ext cx="40" cy="2"/>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7" name="Arc 137"/>
          <xdr:cNvSpPr>
            <a:spLocks/>
          </xdr:cNvSpPr>
        </xdr:nvSpPr>
        <xdr:spPr>
          <a:xfrm rot="2293417" flipV="1">
            <a:off x="209" y="501"/>
            <a:ext cx="18" cy="20"/>
          </a:xfrm>
          <a:prstGeom prst="arc">
            <a:avLst>
              <a:gd name="adj1" fmla="val -20069518"/>
              <a:gd name="adj2" fmla="val 10323888"/>
              <a:gd name="adj3" fmla="val 41342"/>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8" name="Oval 138"/>
          <xdr:cNvSpPr>
            <a:spLocks/>
          </xdr:cNvSpPr>
        </xdr:nvSpPr>
        <xdr:spPr>
          <a:xfrm>
            <a:off x="209" y="522"/>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27</a:t>
            </a:r>
          </a:p>
        </xdr:txBody>
      </xdr:sp>
    </xdr:grpSp>
    <xdr:clientData/>
  </xdr:twoCellAnchor>
  <xdr:twoCellAnchor editAs="absolute">
    <xdr:from>
      <xdr:col>37</xdr:col>
      <xdr:colOff>28575</xdr:colOff>
      <xdr:row>12</xdr:row>
      <xdr:rowOff>66675</xdr:rowOff>
    </xdr:from>
    <xdr:to>
      <xdr:col>39</xdr:col>
      <xdr:colOff>57150</xdr:colOff>
      <xdr:row>15</xdr:row>
      <xdr:rowOff>9525</xdr:rowOff>
    </xdr:to>
    <xdr:grpSp>
      <xdr:nvGrpSpPr>
        <xdr:cNvPr id="139" name="Group 139"/>
        <xdr:cNvGrpSpPr>
          <a:grpSpLocks/>
        </xdr:cNvGrpSpPr>
      </xdr:nvGrpSpPr>
      <xdr:grpSpPr>
        <a:xfrm>
          <a:off x="7077075" y="2066925"/>
          <a:ext cx="409575" cy="457200"/>
          <a:chOff x="254" y="499"/>
          <a:chExt cx="43" cy="48"/>
        </a:xfrm>
        <a:solidFill>
          <a:srgbClr val="FFFFFF"/>
        </a:solidFill>
      </xdr:grpSpPr>
      <xdr:sp>
        <xdr:nvSpPr>
          <xdr:cNvPr id="140" name="AutoShape 140"/>
          <xdr:cNvSpPr>
            <a:spLocks/>
          </xdr:cNvSpPr>
        </xdr:nvSpPr>
        <xdr:spPr>
          <a:xfrm rot="3640816">
            <a:off x="257" y="499"/>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 name="Line 141"/>
          <xdr:cNvSpPr>
            <a:spLocks/>
          </xdr:cNvSpPr>
        </xdr:nvSpPr>
        <xdr:spPr>
          <a:xfrm rot="19715690">
            <a:off x="257" y="520"/>
            <a:ext cx="40" cy="2"/>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2" name="Arc 142"/>
          <xdr:cNvSpPr>
            <a:spLocks/>
          </xdr:cNvSpPr>
        </xdr:nvSpPr>
        <xdr:spPr>
          <a:xfrm rot="19306582">
            <a:off x="258" y="528"/>
            <a:ext cx="17" cy="19"/>
          </a:xfrm>
          <a:prstGeom prst="arc">
            <a:avLst>
              <a:gd name="adj1" fmla="val -20069518"/>
              <a:gd name="adj2" fmla="val 10323888"/>
              <a:gd name="adj3" fmla="val 41342"/>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3" name="Oval 143"/>
          <xdr:cNvSpPr>
            <a:spLocks/>
          </xdr:cNvSpPr>
        </xdr:nvSpPr>
        <xdr:spPr>
          <a:xfrm>
            <a:off x="254" y="513"/>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26</a:t>
            </a:r>
          </a:p>
        </xdr:txBody>
      </xdr:sp>
    </xdr:grpSp>
    <xdr:clientData/>
  </xdr:twoCellAnchor>
  <xdr:twoCellAnchor editAs="absolute">
    <xdr:from>
      <xdr:col>29</xdr:col>
      <xdr:colOff>104775</xdr:colOff>
      <xdr:row>12</xdr:row>
      <xdr:rowOff>76200</xdr:rowOff>
    </xdr:from>
    <xdr:to>
      <xdr:col>31</xdr:col>
      <xdr:colOff>161925</xdr:colOff>
      <xdr:row>15</xdr:row>
      <xdr:rowOff>0</xdr:rowOff>
    </xdr:to>
    <xdr:grpSp>
      <xdr:nvGrpSpPr>
        <xdr:cNvPr id="144" name="Group 144"/>
        <xdr:cNvGrpSpPr>
          <a:grpSpLocks/>
        </xdr:cNvGrpSpPr>
      </xdr:nvGrpSpPr>
      <xdr:grpSpPr>
        <a:xfrm rot="10800000">
          <a:off x="5629275" y="2076450"/>
          <a:ext cx="438150" cy="438150"/>
          <a:chOff x="216" y="450"/>
          <a:chExt cx="46" cy="46"/>
        </a:xfrm>
        <a:solidFill>
          <a:srgbClr val="FFFFFF"/>
        </a:solidFill>
      </xdr:grpSpPr>
      <xdr:sp>
        <xdr:nvSpPr>
          <xdr:cNvPr id="145" name="AutoShape 145"/>
          <xdr:cNvSpPr>
            <a:spLocks/>
          </xdr:cNvSpPr>
        </xdr:nvSpPr>
        <xdr:spPr>
          <a:xfrm rot="21643110">
            <a:off x="216" y="451"/>
            <a:ext cx="46" cy="40"/>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6" name="Line 146"/>
          <xdr:cNvSpPr>
            <a:spLocks/>
          </xdr:cNvSpPr>
        </xdr:nvSpPr>
        <xdr:spPr>
          <a:xfrm rot="18002292">
            <a:off x="228" y="454"/>
            <a:ext cx="21"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7" name="Arc 147"/>
          <xdr:cNvSpPr>
            <a:spLocks/>
          </xdr:cNvSpPr>
        </xdr:nvSpPr>
        <xdr:spPr>
          <a:xfrm rot="15524930">
            <a:off x="238" y="479"/>
            <a:ext cx="20" cy="17"/>
          </a:xfrm>
          <a:prstGeom prst="arc">
            <a:avLst>
              <a:gd name="adj1" fmla="val -20069518"/>
              <a:gd name="adj2" fmla="val 10323888"/>
              <a:gd name="adj3" fmla="val 41342"/>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 name="Oval 148"/>
          <xdr:cNvSpPr>
            <a:spLocks/>
          </xdr:cNvSpPr>
        </xdr:nvSpPr>
        <xdr:spPr>
          <a:xfrm>
            <a:off x="238" y="450"/>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18</a:t>
            </a:r>
          </a:p>
        </xdr:txBody>
      </xdr:sp>
    </xdr:grpSp>
    <xdr:clientData/>
  </xdr:twoCellAnchor>
  <xdr:twoCellAnchor editAs="absolute">
    <xdr:from>
      <xdr:col>32</xdr:col>
      <xdr:colOff>0</xdr:colOff>
      <xdr:row>12</xdr:row>
      <xdr:rowOff>76200</xdr:rowOff>
    </xdr:from>
    <xdr:to>
      <xdr:col>34</xdr:col>
      <xdr:colOff>0</xdr:colOff>
      <xdr:row>15</xdr:row>
      <xdr:rowOff>76200</xdr:rowOff>
    </xdr:to>
    <xdr:grpSp>
      <xdr:nvGrpSpPr>
        <xdr:cNvPr id="149" name="Group 149"/>
        <xdr:cNvGrpSpPr>
          <a:grpSpLocks/>
        </xdr:cNvGrpSpPr>
      </xdr:nvGrpSpPr>
      <xdr:grpSpPr>
        <a:xfrm>
          <a:off x="6096000" y="2076450"/>
          <a:ext cx="381000" cy="514350"/>
          <a:chOff x="205" y="537"/>
          <a:chExt cx="40" cy="54"/>
        </a:xfrm>
        <a:solidFill>
          <a:srgbClr val="FFFFFF"/>
        </a:solidFill>
      </xdr:grpSpPr>
      <xdr:sp>
        <xdr:nvSpPr>
          <xdr:cNvPr id="150" name="AutoShape 150"/>
          <xdr:cNvSpPr>
            <a:spLocks/>
          </xdr:cNvSpPr>
        </xdr:nvSpPr>
        <xdr:spPr>
          <a:xfrm rot="3640816">
            <a:off x="205" y="537"/>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1" name="Arc 151"/>
          <xdr:cNvSpPr>
            <a:spLocks/>
          </xdr:cNvSpPr>
        </xdr:nvSpPr>
        <xdr:spPr>
          <a:xfrm rot="18208223">
            <a:off x="207" y="559"/>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2" name="Rectangle 152"/>
          <xdr:cNvSpPr>
            <a:spLocks/>
          </xdr:cNvSpPr>
        </xdr:nvSpPr>
        <xdr:spPr>
          <a:xfrm>
            <a:off x="221" y="557"/>
            <a:ext cx="8" cy="14"/>
          </a:xfrm>
          <a:prstGeom prst="rect">
            <a:avLst/>
          </a:prstGeom>
          <a:solidFill>
            <a:srgbClr val="00FF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3" name="Line 153"/>
          <xdr:cNvSpPr>
            <a:spLocks/>
          </xdr:cNvSpPr>
        </xdr:nvSpPr>
        <xdr:spPr>
          <a:xfrm>
            <a:off x="225" y="540"/>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4" name="Oval 154"/>
          <xdr:cNvSpPr>
            <a:spLocks/>
          </xdr:cNvSpPr>
        </xdr:nvSpPr>
        <xdr:spPr>
          <a:xfrm>
            <a:off x="224" y="565"/>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19</a:t>
            </a:r>
          </a:p>
        </xdr:txBody>
      </xdr:sp>
    </xdr:grpSp>
    <xdr:clientData/>
  </xdr:twoCellAnchor>
  <xdr:twoCellAnchor editAs="absolute">
    <xdr:from>
      <xdr:col>45</xdr:col>
      <xdr:colOff>180975</xdr:colOff>
      <xdr:row>12</xdr:row>
      <xdr:rowOff>76200</xdr:rowOff>
    </xdr:from>
    <xdr:to>
      <xdr:col>47</xdr:col>
      <xdr:colOff>28575</xdr:colOff>
      <xdr:row>15</xdr:row>
      <xdr:rowOff>76200</xdr:rowOff>
    </xdr:to>
    <xdr:grpSp>
      <xdr:nvGrpSpPr>
        <xdr:cNvPr id="155" name="Group 155"/>
        <xdr:cNvGrpSpPr>
          <a:grpSpLocks/>
        </xdr:cNvGrpSpPr>
      </xdr:nvGrpSpPr>
      <xdr:grpSpPr>
        <a:xfrm>
          <a:off x="8753475" y="2076450"/>
          <a:ext cx="390525" cy="514350"/>
          <a:chOff x="98" y="526"/>
          <a:chExt cx="41" cy="54"/>
        </a:xfrm>
        <a:solidFill>
          <a:srgbClr val="FFFFFF"/>
        </a:solidFill>
      </xdr:grpSpPr>
      <xdr:sp>
        <xdr:nvSpPr>
          <xdr:cNvPr id="156" name="AutoShape 156"/>
          <xdr:cNvSpPr>
            <a:spLocks/>
          </xdr:cNvSpPr>
        </xdr:nvSpPr>
        <xdr:spPr>
          <a:xfrm rot="17959183" flipV="1">
            <a:off x="99" y="534"/>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7" name="Arc 157"/>
          <xdr:cNvSpPr>
            <a:spLocks/>
          </xdr:cNvSpPr>
        </xdr:nvSpPr>
        <xdr:spPr>
          <a:xfrm rot="3391776" flipV="1">
            <a:off x="100" y="526"/>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8" name="Line 158"/>
          <xdr:cNvSpPr>
            <a:spLocks/>
          </xdr:cNvSpPr>
        </xdr:nvSpPr>
        <xdr:spPr>
          <a:xfrm rot="1884309" flipV="1">
            <a:off x="100" y="557"/>
            <a:ext cx="39" cy="2"/>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9" name="Oval 159"/>
          <xdr:cNvSpPr>
            <a:spLocks/>
          </xdr:cNvSpPr>
        </xdr:nvSpPr>
        <xdr:spPr>
          <a:xfrm>
            <a:off x="98" y="55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24</a:t>
            </a:r>
          </a:p>
        </xdr:txBody>
      </xdr:sp>
    </xdr:grpSp>
    <xdr:clientData/>
  </xdr:twoCellAnchor>
  <xdr:twoCellAnchor editAs="absolute">
    <xdr:from>
      <xdr:col>43</xdr:col>
      <xdr:colOff>104775</xdr:colOff>
      <xdr:row>12</xdr:row>
      <xdr:rowOff>95250</xdr:rowOff>
    </xdr:from>
    <xdr:to>
      <xdr:col>45</xdr:col>
      <xdr:colOff>114300</xdr:colOff>
      <xdr:row>15</xdr:row>
      <xdr:rowOff>95250</xdr:rowOff>
    </xdr:to>
    <xdr:grpSp>
      <xdr:nvGrpSpPr>
        <xdr:cNvPr id="160" name="Group 160"/>
        <xdr:cNvGrpSpPr>
          <a:grpSpLocks/>
        </xdr:cNvGrpSpPr>
      </xdr:nvGrpSpPr>
      <xdr:grpSpPr>
        <a:xfrm>
          <a:off x="8296275" y="2095500"/>
          <a:ext cx="390525" cy="514350"/>
          <a:chOff x="148" y="557"/>
          <a:chExt cx="41" cy="54"/>
        </a:xfrm>
        <a:solidFill>
          <a:srgbClr val="FFFFFF"/>
        </a:solidFill>
      </xdr:grpSpPr>
      <xdr:sp>
        <xdr:nvSpPr>
          <xdr:cNvPr id="161" name="AutoShape 161"/>
          <xdr:cNvSpPr>
            <a:spLocks/>
          </xdr:cNvSpPr>
        </xdr:nvSpPr>
        <xdr:spPr>
          <a:xfrm rot="3640816">
            <a:off x="149" y="557"/>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2" name="Arc 162"/>
          <xdr:cNvSpPr>
            <a:spLocks/>
          </xdr:cNvSpPr>
        </xdr:nvSpPr>
        <xdr:spPr>
          <a:xfrm rot="18208223">
            <a:off x="150" y="579"/>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3" name="Line 163"/>
          <xdr:cNvSpPr>
            <a:spLocks/>
          </xdr:cNvSpPr>
        </xdr:nvSpPr>
        <xdr:spPr>
          <a:xfrm rot="19715690">
            <a:off x="150" y="578"/>
            <a:ext cx="39" cy="2"/>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4" name="Oval 164"/>
          <xdr:cNvSpPr>
            <a:spLocks/>
          </xdr:cNvSpPr>
        </xdr:nvSpPr>
        <xdr:spPr>
          <a:xfrm>
            <a:off x="148" y="569"/>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23</a:t>
            </a:r>
          </a:p>
        </xdr:txBody>
      </xdr:sp>
    </xdr:grpSp>
    <xdr:clientData/>
  </xdr:twoCellAnchor>
  <xdr:twoCellAnchor editAs="absolute">
    <xdr:from>
      <xdr:col>40</xdr:col>
      <xdr:colOff>152400</xdr:colOff>
      <xdr:row>12</xdr:row>
      <xdr:rowOff>66675</xdr:rowOff>
    </xdr:from>
    <xdr:to>
      <xdr:col>42</xdr:col>
      <xdr:colOff>152400</xdr:colOff>
      <xdr:row>15</xdr:row>
      <xdr:rowOff>66675</xdr:rowOff>
    </xdr:to>
    <xdr:grpSp>
      <xdr:nvGrpSpPr>
        <xdr:cNvPr id="165" name="Group 165"/>
        <xdr:cNvGrpSpPr>
          <a:grpSpLocks/>
        </xdr:cNvGrpSpPr>
      </xdr:nvGrpSpPr>
      <xdr:grpSpPr>
        <a:xfrm>
          <a:off x="7772400" y="2066925"/>
          <a:ext cx="381000" cy="514350"/>
          <a:chOff x="961" y="155"/>
          <a:chExt cx="40" cy="54"/>
        </a:xfrm>
        <a:solidFill>
          <a:srgbClr val="FFFFFF"/>
        </a:solidFill>
      </xdr:grpSpPr>
      <xdr:sp>
        <xdr:nvSpPr>
          <xdr:cNvPr id="166" name="AutoShape 166"/>
          <xdr:cNvSpPr>
            <a:spLocks/>
          </xdr:cNvSpPr>
        </xdr:nvSpPr>
        <xdr:spPr>
          <a:xfrm rot="3640816">
            <a:off x="961" y="155"/>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7" name="Arc 167"/>
          <xdr:cNvSpPr>
            <a:spLocks/>
          </xdr:cNvSpPr>
        </xdr:nvSpPr>
        <xdr:spPr>
          <a:xfrm rot="19306582">
            <a:off x="962" y="184"/>
            <a:ext cx="17" cy="19"/>
          </a:xfrm>
          <a:prstGeom prst="arc">
            <a:avLst>
              <a:gd name="adj1" fmla="val -20069518"/>
              <a:gd name="adj2" fmla="val 10323888"/>
              <a:gd name="adj3" fmla="val 41342"/>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8" name="Arc 168"/>
          <xdr:cNvSpPr>
            <a:spLocks/>
          </xdr:cNvSpPr>
        </xdr:nvSpPr>
        <xdr:spPr>
          <a:xfrm rot="18208223">
            <a:off x="962" y="177"/>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 name="Oval 169"/>
          <xdr:cNvSpPr>
            <a:spLocks/>
          </xdr:cNvSpPr>
        </xdr:nvSpPr>
        <xdr:spPr>
          <a:xfrm>
            <a:off x="961" y="167"/>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28</a:t>
            </a:r>
          </a:p>
        </xdr:txBody>
      </xdr:sp>
    </xdr:grpSp>
    <xdr:clientData/>
  </xdr:twoCellAnchor>
  <xdr:twoCellAnchor editAs="absolute">
    <xdr:from>
      <xdr:col>39</xdr:col>
      <xdr:colOff>104775</xdr:colOff>
      <xdr:row>14</xdr:row>
      <xdr:rowOff>104775</xdr:rowOff>
    </xdr:from>
    <xdr:to>
      <xdr:col>41</xdr:col>
      <xdr:colOff>104775</xdr:colOff>
      <xdr:row>17</xdr:row>
      <xdr:rowOff>104775</xdr:rowOff>
    </xdr:to>
    <xdr:grpSp>
      <xdr:nvGrpSpPr>
        <xdr:cNvPr id="170" name="Group 170"/>
        <xdr:cNvGrpSpPr>
          <a:grpSpLocks/>
        </xdr:cNvGrpSpPr>
      </xdr:nvGrpSpPr>
      <xdr:grpSpPr>
        <a:xfrm>
          <a:off x="7534275" y="2447925"/>
          <a:ext cx="381000" cy="514350"/>
          <a:chOff x="137" y="558"/>
          <a:chExt cx="40" cy="54"/>
        </a:xfrm>
        <a:solidFill>
          <a:srgbClr val="FFFFFF"/>
        </a:solidFill>
      </xdr:grpSpPr>
      <xdr:sp>
        <xdr:nvSpPr>
          <xdr:cNvPr id="171" name="AutoShape 171"/>
          <xdr:cNvSpPr>
            <a:spLocks/>
          </xdr:cNvSpPr>
        </xdr:nvSpPr>
        <xdr:spPr>
          <a:xfrm rot="17959183" flipV="1">
            <a:off x="137" y="566"/>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2" name="Arc 172"/>
          <xdr:cNvSpPr>
            <a:spLocks/>
          </xdr:cNvSpPr>
        </xdr:nvSpPr>
        <xdr:spPr>
          <a:xfrm rot="2293417" flipV="1">
            <a:off x="138" y="564"/>
            <a:ext cx="17" cy="19"/>
          </a:xfrm>
          <a:prstGeom prst="arc">
            <a:avLst>
              <a:gd name="adj1" fmla="val -20069518"/>
              <a:gd name="adj2" fmla="val 10323888"/>
              <a:gd name="adj3" fmla="val 41342"/>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3" name="Arc 173"/>
          <xdr:cNvSpPr>
            <a:spLocks/>
          </xdr:cNvSpPr>
        </xdr:nvSpPr>
        <xdr:spPr>
          <a:xfrm rot="3391776" flipV="1">
            <a:off x="138" y="558"/>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4" name="Oval 174"/>
          <xdr:cNvSpPr>
            <a:spLocks/>
          </xdr:cNvSpPr>
        </xdr:nvSpPr>
        <xdr:spPr>
          <a:xfrm>
            <a:off x="138" y="584"/>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29</a:t>
            </a:r>
          </a:p>
        </xdr:txBody>
      </xdr:sp>
    </xdr:grpSp>
    <xdr:clientData/>
  </xdr:twoCellAnchor>
  <xdr:twoCellAnchor editAs="absolute">
    <xdr:from>
      <xdr:col>32</xdr:col>
      <xdr:colOff>0</xdr:colOff>
      <xdr:row>15</xdr:row>
      <xdr:rowOff>9525</xdr:rowOff>
    </xdr:from>
    <xdr:to>
      <xdr:col>34</xdr:col>
      <xdr:colOff>0</xdr:colOff>
      <xdr:row>17</xdr:row>
      <xdr:rowOff>104775</xdr:rowOff>
    </xdr:to>
    <xdr:grpSp>
      <xdr:nvGrpSpPr>
        <xdr:cNvPr id="175" name="Group 175"/>
        <xdr:cNvGrpSpPr>
          <a:grpSpLocks/>
        </xdr:cNvGrpSpPr>
      </xdr:nvGrpSpPr>
      <xdr:grpSpPr>
        <a:xfrm>
          <a:off x="6096000" y="2524125"/>
          <a:ext cx="381000" cy="438150"/>
          <a:chOff x="280" y="540"/>
          <a:chExt cx="40" cy="46"/>
        </a:xfrm>
        <a:solidFill>
          <a:srgbClr val="FFFFFF"/>
        </a:solidFill>
      </xdr:grpSpPr>
      <xdr:sp>
        <xdr:nvSpPr>
          <xdr:cNvPr id="176" name="AutoShape 176"/>
          <xdr:cNvSpPr>
            <a:spLocks/>
          </xdr:cNvSpPr>
        </xdr:nvSpPr>
        <xdr:spPr>
          <a:xfrm rot="3640816">
            <a:off x="280" y="540"/>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7" name="Line 177"/>
          <xdr:cNvSpPr>
            <a:spLocks/>
          </xdr:cNvSpPr>
        </xdr:nvSpPr>
        <xdr:spPr>
          <a:xfrm>
            <a:off x="283" y="553"/>
            <a:ext cx="34" cy="2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8" name="Rectangle 178"/>
          <xdr:cNvSpPr>
            <a:spLocks/>
          </xdr:cNvSpPr>
        </xdr:nvSpPr>
        <xdr:spPr>
          <a:xfrm>
            <a:off x="296" y="555"/>
            <a:ext cx="8" cy="17"/>
          </a:xfrm>
          <a:prstGeom prst="rect">
            <a:avLst/>
          </a:prstGeom>
          <a:solidFill>
            <a:srgbClr val="00FF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9" name="Line 179"/>
          <xdr:cNvSpPr>
            <a:spLocks/>
          </xdr:cNvSpPr>
        </xdr:nvSpPr>
        <xdr:spPr>
          <a:xfrm>
            <a:off x="300" y="543"/>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0" name="Oval 180"/>
          <xdr:cNvSpPr>
            <a:spLocks/>
          </xdr:cNvSpPr>
        </xdr:nvSpPr>
        <xdr:spPr>
          <a:xfrm>
            <a:off x="300" y="567"/>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20</a:t>
            </a:r>
          </a:p>
        </xdr:txBody>
      </xdr:sp>
    </xdr:grpSp>
    <xdr:clientData/>
  </xdr:twoCellAnchor>
  <xdr:twoCellAnchor editAs="absolute">
    <xdr:from>
      <xdr:col>31</xdr:col>
      <xdr:colOff>171450</xdr:colOff>
      <xdr:row>17</xdr:row>
      <xdr:rowOff>85725</xdr:rowOff>
    </xdr:from>
    <xdr:to>
      <xdr:col>34</xdr:col>
      <xdr:colOff>57150</xdr:colOff>
      <xdr:row>20</xdr:row>
      <xdr:rowOff>85725</xdr:rowOff>
    </xdr:to>
    <xdr:grpSp>
      <xdr:nvGrpSpPr>
        <xdr:cNvPr id="181" name="Group 181"/>
        <xdr:cNvGrpSpPr>
          <a:grpSpLocks/>
        </xdr:cNvGrpSpPr>
      </xdr:nvGrpSpPr>
      <xdr:grpSpPr>
        <a:xfrm>
          <a:off x="6076950" y="2943225"/>
          <a:ext cx="457200" cy="514350"/>
          <a:chOff x="271" y="534"/>
          <a:chExt cx="48" cy="54"/>
        </a:xfrm>
        <a:solidFill>
          <a:srgbClr val="FFFFFF"/>
        </a:solidFill>
      </xdr:grpSpPr>
      <xdr:sp>
        <xdr:nvSpPr>
          <xdr:cNvPr id="182" name="AutoShape 182"/>
          <xdr:cNvSpPr>
            <a:spLocks/>
          </xdr:cNvSpPr>
        </xdr:nvSpPr>
        <xdr:spPr>
          <a:xfrm rot="3640816">
            <a:off x="271" y="534"/>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3" name="Arc 183"/>
          <xdr:cNvSpPr>
            <a:spLocks/>
          </xdr:cNvSpPr>
        </xdr:nvSpPr>
        <xdr:spPr>
          <a:xfrm rot="18208223">
            <a:off x="272" y="556"/>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4" name="Rectangle 184"/>
          <xdr:cNvSpPr>
            <a:spLocks/>
          </xdr:cNvSpPr>
        </xdr:nvSpPr>
        <xdr:spPr>
          <a:xfrm rot="1452788">
            <a:off x="289" y="557"/>
            <a:ext cx="8" cy="10"/>
          </a:xfrm>
          <a:prstGeom prst="rect">
            <a:avLst/>
          </a:prstGeom>
          <a:solidFill>
            <a:srgbClr val="00FF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5" name="Arc 185"/>
          <xdr:cNvSpPr>
            <a:spLocks/>
          </xdr:cNvSpPr>
        </xdr:nvSpPr>
        <xdr:spPr>
          <a:xfrm rot="14533253">
            <a:off x="287" y="550"/>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6" name="Oval 186"/>
          <xdr:cNvSpPr>
            <a:spLocks/>
          </xdr:cNvSpPr>
        </xdr:nvSpPr>
        <xdr:spPr>
          <a:xfrm>
            <a:off x="291" y="562"/>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16</a:t>
            </a:r>
          </a:p>
        </xdr:txBody>
      </xdr:sp>
    </xdr:grpSp>
    <xdr:clientData/>
  </xdr:twoCellAnchor>
  <xdr:twoCellAnchor editAs="absolute">
    <xdr:from>
      <xdr:col>29</xdr:col>
      <xdr:colOff>19050</xdr:colOff>
      <xdr:row>17</xdr:row>
      <xdr:rowOff>9525</xdr:rowOff>
    </xdr:from>
    <xdr:to>
      <xdr:col>31</xdr:col>
      <xdr:colOff>76200</xdr:colOff>
      <xdr:row>19</xdr:row>
      <xdr:rowOff>57150</xdr:rowOff>
    </xdr:to>
    <xdr:grpSp>
      <xdr:nvGrpSpPr>
        <xdr:cNvPr id="187" name="Group 187"/>
        <xdr:cNvGrpSpPr>
          <a:grpSpLocks/>
        </xdr:cNvGrpSpPr>
      </xdr:nvGrpSpPr>
      <xdr:grpSpPr>
        <a:xfrm rot="16200000">
          <a:off x="5543550" y="2867025"/>
          <a:ext cx="438150" cy="390525"/>
          <a:chOff x="276" y="574"/>
          <a:chExt cx="41" cy="46"/>
        </a:xfrm>
        <a:solidFill>
          <a:srgbClr val="FFFFFF"/>
        </a:solidFill>
      </xdr:grpSpPr>
      <xdr:grpSp>
        <xdr:nvGrpSpPr>
          <xdr:cNvPr id="188" name="Group 188"/>
          <xdr:cNvGrpSpPr>
            <a:grpSpLocks/>
          </xdr:cNvGrpSpPr>
        </xdr:nvGrpSpPr>
        <xdr:grpSpPr>
          <a:xfrm flipH="1">
            <a:off x="276" y="574"/>
            <a:ext cx="40" cy="46"/>
            <a:chOff x="707" y="226"/>
            <a:chExt cx="40" cy="46"/>
          </a:xfrm>
          <a:solidFill>
            <a:srgbClr val="FFFFFF"/>
          </a:solidFill>
        </xdr:grpSpPr>
        <xdr:sp>
          <xdr:nvSpPr>
            <xdr:cNvPr id="189" name="AutoShape 189"/>
            <xdr:cNvSpPr>
              <a:spLocks/>
            </xdr:cNvSpPr>
          </xdr:nvSpPr>
          <xdr:spPr>
            <a:xfrm rot="3640816">
              <a:off x="707" y="226"/>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0" name="Line 190"/>
            <xdr:cNvSpPr>
              <a:spLocks/>
            </xdr:cNvSpPr>
          </xdr:nvSpPr>
          <xdr:spPr>
            <a:xfrm flipH="1">
              <a:off x="727" y="229"/>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1" name="Line 191"/>
            <xdr:cNvSpPr>
              <a:spLocks/>
            </xdr:cNvSpPr>
          </xdr:nvSpPr>
          <xdr:spPr>
            <a:xfrm>
              <a:off x="727" y="248"/>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2" name="Oval 192"/>
            <xdr:cNvSpPr>
              <a:spLocks/>
            </xdr:cNvSpPr>
          </xdr:nvSpPr>
          <xdr:spPr>
            <a:xfrm>
              <a:off x="722" y="243"/>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93" name="Group 193"/>
          <xdr:cNvGrpSpPr>
            <a:grpSpLocks/>
          </xdr:cNvGrpSpPr>
        </xdr:nvGrpSpPr>
        <xdr:grpSpPr>
          <a:xfrm>
            <a:off x="277" y="585"/>
            <a:ext cx="15" cy="15"/>
            <a:chOff x="679" y="72"/>
            <a:chExt cx="15" cy="15"/>
          </a:xfrm>
          <a:solidFill>
            <a:srgbClr val="FFFFFF"/>
          </a:solidFill>
        </xdr:grpSpPr>
        <xdr:sp>
          <xdr:nvSpPr>
            <xdr:cNvPr id="194" name="Oval 194"/>
            <xdr:cNvSpPr>
              <a:spLocks/>
            </xdr:cNvSpPr>
          </xdr:nvSpPr>
          <xdr:spPr>
            <a:xfrm>
              <a:off x="681" y="75"/>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195" name="Oval 195"/>
            <xdr:cNvSpPr>
              <a:spLocks/>
            </xdr:cNvSpPr>
          </xdr:nvSpPr>
          <xdr:spPr>
            <a:xfrm>
              <a:off x="679" y="72"/>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3</a:t>
              </a:r>
            </a:p>
          </xdr:txBody>
        </xdr:sp>
      </xdr:grpSp>
      <xdr:sp>
        <xdr:nvSpPr>
          <xdr:cNvPr id="196" name="Oval 196"/>
          <xdr:cNvSpPr>
            <a:spLocks/>
          </xdr:cNvSpPr>
        </xdr:nvSpPr>
        <xdr:spPr>
          <a:xfrm>
            <a:off x="300" y="588"/>
            <a:ext cx="17" cy="17"/>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205</a:t>
            </a:r>
          </a:p>
        </xdr:txBody>
      </xdr:sp>
    </xdr:grpSp>
    <xdr:clientData/>
  </xdr:twoCellAnchor>
  <xdr:twoCellAnchor editAs="absolute">
    <xdr:from>
      <xdr:col>32</xdr:col>
      <xdr:colOff>152400</xdr:colOff>
      <xdr:row>13</xdr:row>
      <xdr:rowOff>57150</xdr:rowOff>
    </xdr:from>
    <xdr:to>
      <xdr:col>34</xdr:col>
      <xdr:colOff>152400</xdr:colOff>
      <xdr:row>16</xdr:row>
      <xdr:rowOff>57150</xdr:rowOff>
    </xdr:to>
    <xdr:grpSp>
      <xdr:nvGrpSpPr>
        <xdr:cNvPr id="197" name="Group 197"/>
        <xdr:cNvGrpSpPr>
          <a:grpSpLocks/>
        </xdr:cNvGrpSpPr>
      </xdr:nvGrpSpPr>
      <xdr:grpSpPr>
        <a:xfrm>
          <a:off x="6248400" y="2228850"/>
          <a:ext cx="381000" cy="514350"/>
          <a:chOff x="205" y="537"/>
          <a:chExt cx="40" cy="54"/>
        </a:xfrm>
        <a:solidFill>
          <a:srgbClr val="FFFFFF"/>
        </a:solidFill>
      </xdr:grpSpPr>
      <xdr:sp>
        <xdr:nvSpPr>
          <xdr:cNvPr id="198" name="AutoShape 198"/>
          <xdr:cNvSpPr>
            <a:spLocks/>
          </xdr:cNvSpPr>
        </xdr:nvSpPr>
        <xdr:spPr>
          <a:xfrm rot="3640816">
            <a:off x="205" y="537"/>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9" name="Arc 199"/>
          <xdr:cNvSpPr>
            <a:spLocks/>
          </xdr:cNvSpPr>
        </xdr:nvSpPr>
        <xdr:spPr>
          <a:xfrm rot="18208223">
            <a:off x="207" y="559"/>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0" name="Rectangle 200"/>
          <xdr:cNvSpPr>
            <a:spLocks/>
          </xdr:cNvSpPr>
        </xdr:nvSpPr>
        <xdr:spPr>
          <a:xfrm>
            <a:off x="221" y="557"/>
            <a:ext cx="8" cy="14"/>
          </a:xfrm>
          <a:prstGeom prst="rect">
            <a:avLst/>
          </a:prstGeom>
          <a:solidFill>
            <a:srgbClr val="00FF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1" name="Line 201"/>
          <xdr:cNvSpPr>
            <a:spLocks/>
          </xdr:cNvSpPr>
        </xdr:nvSpPr>
        <xdr:spPr>
          <a:xfrm>
            <a:off x="225" y="540"/>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2" name="Oval 202"/>
          <xdr:cNvSpPr>
            <a:spLocks/>
          </xdr:cNvSpPr>
        </xdr:nvSpPr>
        <xdr:spPr>
          <a:xfrm>
            <a:off x="224" y="565"/>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19</a:t>
            </a:r>
          </a:p>
        </xdr:txBody>
      </xdr:sp>
    </xdr:grpSp>
    <xdr:clientData/>
  </xdr:twoCellAnchor>
  <xdr:twoCellAnchor editAs="absolute">
    <xdr:from>
      <xdr:col>32</xdr:col>
      <xdr:colOff>152400</xdr:colOff>
      <xdr:row>15</xdr:row>
      <xdr:rowOff>161925</xdr:rowOff>
    </xdr:from>
    <xdr:to>
      <xdr:col>34</xdr:col>
      <xdr:colOff>152400</xdr:colOff>
      <xdr:row>18</xdr:row>
      <xdr:rowOff>85725</xdr:rowOff>
    </xdr:to>
    <xdr:grpSp>
      <xdr:nvGrpSpPr>
        <xdr:cNvPr id="203" name="Group 203"/>
        <xdr:cNvGrpSpPr>
          <a:grpSpLocks/>
        </xdr:cNvGrpSpPr>
      </xdr:nvGrpSpPr>
      <xdr:grpSpPr>
        <a:xfrm>
          <a:off x="6248400" y="2676525"/>
          <a:ext cx="381000" cy="438150"/>
          <a:chOff x="280" y="540"/>
          <a:chExt cx="40" cy="46"/>
        </a:xfrm>
        <a:solidFill>
          <a:srgbClr val="FFFFFF"/>
        </a:solidFill>
      </xdr:grpSpPr>
      <xdr:sp>
        <xdr:nvSpPr>
          <xdr:cNvPr id="204" name="AutoShape 204"/>
          <xdr:cNvSpPr>
            <a:spLocks/>
          </xdr:cNvSpPr>
        </xdr:nvSpPr>
        <xdr:spPr>
          <a:xfrm rot="3640816">
            <a:off x="280" y="540"/>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5" name="Line 205"/>
          <xdr:cNvSpPr>
            <a:spLocks/>
          </xdr:cNvSpPr>
        </xdr:nvSpPr>
        <xdr:spPr>
          <a:xfrm>
            <a:off x="283" y="553"/>
            <a:ext cx="34" cy="2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6" name="Rectangle 206"/>
          <xdr:cNvSpPr>
            <a:spLocks/>
          </xdr:cNvSpPr>
        </xdr:nvSpPr>
        <xdr:spPr>
          <a:xfrm>
            <a:off x="296" y="555"/>
            <a:ext cx="8" cy="17"/>
          </a:xfrm>
          <a:prstGeom prst="rect">
            <a:avLst/>
          </a:prstGeom>
          <a:solidFill>
            <a:srgbClr val="00FF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7" name="Line 207"/>
          <xdr:cNvSpPr>
            <a:spLocks/>
          </xdr:cNvSpPr>
        </xdr:nvSpPr>
        <xdr:spPr>
          <a:xfrm>
            <a:off x="300" y="543"/>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8" name="Oval 208"/>
          <xdr:cNvSpPr>
            <a:spLocks/>
          </xdr:cNvSpPr>
        </xdr:nvSpPr>
        <xdr:spPr>
          <a:xfrm>
            <a:off x="300" y="567"/>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20</a:t>
            </a:r>
          </a:p>
        </xdr:txBody>
      </xdr:sp>
    </xdr:grpSp>
    <xdr:clientData/>
  </xdr:twoCellAnchor>
  <xdr:twoCellAnchor editAs="absolute">
    <xdr:from>
      <xdr:col>32</xdr:col>
      <xdr:colOff>133350</xdr:colOff>
      <xdr:row>18</xdr:row>
      <xdr:rowOff>66675</xdr:rowOff>
    </xdr:from>
    <xdr:to>
      <xdr:col>35</xdr:col>
      <xdr:colOff>19050</xdr:colOff>
      <xdr:row>21</xdr:row>
      <xdr:rowOff>66675</xdr:rowOff>
    </xdr:to>
    <xdr:grpSp>
      <xdr:nvGrpSpPr>
        <xdr:cNvPr id="209" name="Group 209"/>
        <xdr:cNvGrpSpPr>
          <a:grpSpLocks/>
        </xdr:cNvGrpSpPr>
      </xdr:nvGrpSpPr>
      <xdr:grpSpPr>
        <a:xfrm>
          <a:off x="6229350" y="3095625"/>
          <a:ext cx="457200" cy="514350"/>
          <a:chOff x="271" y="534"/>
          <a:chExt cx="48" cy="54"/>
        </a:xfrm>
        <a:solidFill>
          <a:srgbClr val="FFFFFF"/>
        </a:solidFill>
      </xdr:grpSpPr>
      <xdr:sp>
        <xdr:nvSpPr>
          <xdr:cNvPr id="210" name="AutoShape 210"/>
          <xdr:cNvSpPr>
            <a:spLocks/>
          </xdr:cNvSpPr>
        </xdr:nvSpPr>
        <xdr:spPr>
          <a:xfrm rot="3640816">
            <a:off x="271" y="534"/>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1" name="Arc 211"/>
          <xdr:cNvSpPr>
            <a:spLocks/>
          </xdr:cNvSpPr>
        </xdr:nvSpPr>
        <xdr:spPr>
          <a:xfrm rot="18208223">
            <a:off x="272" y="556"/>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2" name="Rectangle 212"/>
          <xdr:cNvSpPr>
            <a:spLocks/>
          </xdr:cNvSpPr>
        </xdr:nvSpPr>
        <xdr:spPr>
          <a:xfrm rot="1452788">
            <a:off x="289" y="557"/>
            <a:ext cx="8" cy="10"/>
          </a:xfrm>
          <a:prstGeom prst="rect">
            <a:avLst/>
          </a:prstGeom>
          <a:solidFill>
            <a:srgbClr val="00FF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3" name="Arc 213"/>
          <xdr:cNvSpPr>
            <a:spLocks/>
          </xdr:cNvSpPr>
        </xdr:nvSpPr>
        <xdr:spPr>
          <a:xfrm rot="14533253">
            <a:off x="287" y="550"/>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4" name="Oval 214"/>
          <xdr:cNvSpPr>
            <a:spLocks/>
          </xdr:cNvSpPr>
        </xdr:nvSpPr>
        <xdr:spPr>
          <a:xfrm>
            <a:off x="291" y="562"/>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16</a:t>
            </a:r>
          </a:p>
        </xdr:txBody>
      </xdr:sp>
    </xdr:grpSp>
    <xdr:clientData/>
  </xdr:twoCellAnchor>
  <xdr:twoCellAnchor editAs="absolute">
    <xdr:from>
      <xdr:col>38</xdr:col>
      <xdr:colOff>152400</xdr:colOff>
      <xdr:row>19</xdr:row>
      <xdr:rowOff>66675</xdr:rowOff>
    </xdr:from>
    <xdr:to>
      <xdr:col>40</xdr:col>
      <xdr:colOff>152400</xdr:colOff>
      <xdr:row>21</xdr:row>
      <xdr:rowOff>161925</xdr:rowOff>
    </xdr:to>
    <xdr:grpSp>
      <xdr:nvGrpSpPr>
        <xdr:cNvPr id="215" name="Group 215"/>
        <xdr:cNvGrpSpPr>
          <a:grpSpLocks/>
        </xdr:cNvGrpSpPr>
      </xdr:nvGrpSpPr>
      <xdr:grpSpPr>
        <a:xfrm>
          <a:off x="7391400" y="3267075"/>
          <a:ext cx="381000" cy="438150"/>
          <a:chOff x="250" y="560"/>
          <a:chExt cx="40" cy="46"/>
        </a:xfrm>
        <a:solidFill>
          <a:srgbClr val="FFFFFF"/>
        </a:solidFill>
      </xdr:grpSpPr>
      <xdr:grpSp>
        <xdr:nvGrpSpPr>
          <xdr:cNvPr id="216" name="Group 216"/>
          <xdr:cNvGrpSpPr>
            <a:grpSpLocks/>
          </xdr:cNvGrpSpPr>
        </xdr:nvGrpSpPr>
        <xdr:grpSpPr>
          <a:xfrm>
            <a:off x="250" y="560"/>
            <a:ext cx="40" cy="46"/>
            <a:chOff x="648" y="264"/>
            <a:chExt cx="40" cy="46"/>
          </a:xfrm>
          <a:solidFill>
            <a:srgbClr val="FFFFFF"/>
          </a:solidFill>
        </xdr:grpSpPr>
        <xdr:sp>
          <xdr:nvSpPr>
            <xdr:cNvPr id="217" name="AutoShape 217"/>
            <xdr:cNvSpPr>
              <a:spLocks/>
            </xdr:cNvSpPr>
          </xdr:nvSpPr>
          <xdr:spPr>
            <a:xfrm rot="3640816">
              <a:off x="648" y="264"/>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8" name="Line 218"/>
            <xdr:cNvSpPr>
              <a:spLocks/>
            </xdr:cNvSpPr>
          </xdr:nvSpPr>
          <xdr:spPr>
            <a:xfrm>
              <a:off x="668" y="267"/>
              <a:ext cx="0" cy="2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9" name="Line 219"/>
            <xdr:cNvSpPr>
              <a:spLocks/>
            </xdr:cNvSpPr>
          </xdr:nvSpPr>
          <xdr:spPr>
            <a:xfrm>
              <a:off x="651" y="277"/>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0" name="Line 220"/>
            <xdr:cNvSpPr>
              <a:spLocks/>
            </xdr:cNvSpPr>
          </xdr:nvSpPr>
          <xdr:spPr>
            <a:xfrm flipV="1">
              <a:off x="651" y="286"/>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1" name="Oval 221"/>
            <xdr:cNvSpPr>
              <a:spLocks/>
            </xdr:cNvSpPr>
          </xdr:nvSpPr>
          <xdr:spPr>
            <a:xfrm>
              <a:off x="663" y="281"/>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22" name="Group 222"/>
          <xdr:cNvGrpSpPr>
            <a:grpSpLocks/>
          </xdr:cNvGrpSpPr>
        </xdr:nvGrpSpPr>
        <xdr:grpSpPr>
          <a:xfrm>
            <a:off x="273" y="567"/>
            <a:ext cx="15" cy="15"/>
            <a:chOff x="679" y="72"/>
            <a:chExt cx="15" cy="15"/>
          </a:xfrm>
          <a:solidFill>
            <a:srgbClr val="FFFFFF"/>
          </a:solidFill>
        </xdr:grpSpPr>
        <xdr:sp>
          <xdr:nvSpPr>
            <xdr:cNvPr id="223" name="Oval 223"/>
            <xdr:cNvSpPr>
              <a:spLocks/>
            </xdr:cNvSpPr>
          </xdr:nvSpPr>
          <xdr:spPr>
            <a:xfrm>
              <a:off x="681" y="75"/>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224" name="Oval 224"/>
            <xdr:cNvSpPr>
              <a:spLocks/>
            </xdr:cNvSpPr>
          </xdr:nvSpPr>
          <xdr:spPr>
            <a:xfrm>
              <a:off x="679" y="72"/>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3</a:t>
              </a:r>
            </a:p>
          </xdr:txBody>
        </xdr:sp>
      </xdr:grpSp>
      <xdr:sp>
        <xdr:nvSpPr>
          <xdr:cNvPr id="225" name="Oval 225"/>
          <xdr:cNvSpPr>
            <a:spLocks/>
          </xdr:cNvSpPr>
        </xdr:nvSpPr>
        <xdr:spPr>
          <a:xfrm>
            <a:off x="269" y="587"/>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12</a:t>
            </a:r>
          </a:p>
        </xdr:txBody>
      </xdr:sp>
    </xdr:grpSp>
    <xdr:clientData/>
  </xdr:twoCellAnchor>
  <xdr:twoCellAnchor editAs="absolute">
    <xdr:from>
      <xdr:col>34</xdr:col>
      <xdr:colOff>180975</xdr:colOff>
      <xdr:row>15</xdr:row>
      <xdr:rowOff>57150</xdr:rowOff>
    </xdr:from>
    <xdr:to>
      <xdr:col>37</xdr:col>
      <xdr:colOff>142875</xdr:colOff>
      <xdr:row>18</xdr:row>
      <xdr:rowOff>0</xdr:rowOff>
    </xdr:to>
    <xdr:grpSp>
      <xdr:nvGrpSpPr>
        <xdr:cNvPr id="226" name="Group 226"/>
        <xdr:cNvGrpSpPr>
          <a:grpSpLocks/>
        </xdr:cNvGrpSpPr>
      </xdr:nvGrpSpPr>
      <xdr:grpSpPr>
        <a:xfrm>
          <a:off x="6657975" y="2571750"/>
          <a:ext cx="533400" cy="457200"/>
          <a:chOff x="267" y="544"/>
          <a:chExt cx="56" cy="48"/>
        </a:xfrm>
        <a:solidFill>
          <a:srgbClr val="FFFFFF"/>
        </a:solidFill>
      </xdr:grpSpPr>
      <xdr:sp>
        <xdr:nvSpPr>
          <xdr:cNvPr id="227" name="AutoShape 227"/>
          <xdr:cNvSpPr>
            <a:spLocks/>
          </xdr:cNvSpPr>
        </xdr:nvSpPr>
        <xdr:spPr>
          <a:xfrm rot="3640816">
            <a:off x="275" y="544"/>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8" name="Arc 228"/>
          <xdr:cNvSpPr>
            <a:spLocks/>
          </xdr:cNvSpPr>
        </xdr:nvSpPr>
        <xdr:spPr>
          <a:xfrm rot="14533253">
            <a:off x="291" y="561"/>
            <a:ext cx="32" cy="31"/>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 name="Arc 229"/>
          <xdr:cNvSpPr>
            <a:spLocks/>
          </xdr:cNvSpPr>
        </xdr:nvSpPr>
        <xdr:spPr>
          <a:xfrm rot="7066746" flipH="1">
            <a:off x="267" y="562"/>
            <a:ext cx="31" cy="30"/>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0" name="Oval 230"/>
          <xdr:cNvSpPr>
            <a:spLocks/>
          </xdr:cNvSpPr>
        </xdr:nvSpPr>
        <xdr:spPr>
          <a:xfrm>
            <a:off x="295" y="57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25</a:t>
            </a:r>
          </a:p>
        </xdr:txBody>
      </xdr:sp>
    </xdr:grpSp>
    <xdr:clientData/>
  </xdr:twoCellAnchor>
  <xdr:twoCellAnchor editAs="absolute">
    <xdr:from>
      <xdr:col>35</xdr:col>
      <xdr:colOff>123825</xdr:colOff>
      <xdr:row>16</xdr:row>
      <xdr:rowOff>76200</xdr:rowOff>
    </xdr:from>
    <xdr:to>
      <xdr:col>38</xdr:col>
      <xdr:colOff>85725</xdr:colOff>
      <xdr:row>19</xdr:row>
      <xdr:rowOff>19050</xdr:rowOff>
    </xdr:to>
    <xdr:grpSp>
      <xdr:nvGrpSpPr>
        <xdr:cNvPr id="231" name="Group 231"/>
        <xdr:cNvGrpSpPr>
          <a:grpSpLocks/>
        </xdr:cNvGrpSpPr>
      </xdr:nvGrpSpPr>
      <xdr:grpSpPr>
        <a:xfrm>
          <a:off x="6791325" y="2762250"/>
          <a:ext cx="533400" cy="457200"/>
          <a:chOff x="267" y="544"/>
          <a:chExt cx="56" cy="48"/>
        </a:xfrm>
        <a:solidFill>
          <a:srgbClr val="FFFFFF"/>
        </a:solidFill>
      </xdr:grpSpPr>
      <xdr:sp>
        <xdr:nvSpPr>
          <xdr:cNvPr id="232" name="AutoShape 232"/>
          <xdr:cNvSpPr>
            <a:spLocks/>
          </xdr:cNvSpPr>
        </xdr:nvSpPr>
        <xdr:spPr>
          <a:xfrm rot="3640816">
            <a:off x="275" y="544"/>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3" name="Arc 233"/>
          <xdr:cNvSpPr>
            <a:spLocks/>
          </xdr:cNvSpPr>
        </xdr:nvSpPr>
        <xdr:spPr>
          <a:xfrm rot="14533253">
            <a:off x="291" y="561"/>
            <a:ext cx="32" cy="31"/>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4" name="Arc 234"/>
          <xdr:cNvSpPr>
            <a:spLocks/>
          </xdr:cNvSpPr>
        </xdr:nvSpPr>
        <xdr:spPr>
          <a:xfrm rot="7066746" flipH="1">
            <a:off x="267" y="562"/>
            <a:ext cx="31" cy="30"/>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5" name="Oval 235"/>
          <xdr:cNvSpPr>
            <a:spLocks/>
          </xdr:cNvSpPr>
        </xdr:nvSpPr>
        <xdr:spPr>
          <a:xfrm>
            <a:off x="295" y="57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25</a:t>
            </a:r>
          </a:p>
        </xdr:txBody>
      </xdr:sp>
    </xdr:grpSp>
    <xdr:clientData/>
  </xdr:twoCellAnchor>
  <xdr:twoCellAnchor editAs="absolute">
    <xdr:from>
      <xdr:col>13</xdr:col>
      <xdr:colOff>123825</xdr:colOff>
      <xdr:row>16</xdr:row>
      <xdr:rowOff>114300</xdr:rowOff>
    </xdr:from>
    <xdr:to>
      <xdr:col>16</xdr:col>
      <xdr:colOff>85725</xdr:colOff>
      <xdr:row>19</xdr:row>
      <xdr:rowOff>57150</xdr:rowOff>
    </xdr:to>
    <xdr:grpSp>
      <xdr:nvGrpSpPr>
        <xdr:cNvPr id="236" name="Group 236"/>
        <xdr:cNvGrpSpPr>
          <a:grpSpLocks/>
        </xdr:cNvGrpSpPr>
      </xdr:nvGrpSpPr>
      <xdr:grpSpPr>
        <a:xfrm rot="19800000">
          <a:off x="2600325" y="2800350"/>
          <a:ext cx="533400" cy="457200"/>
          <a:chOff x="267" y="544"/>
          <a:chExt cx="56" cy="48"/>
        </a:xfrm>
        <a:solidFill>
          <a:srgbClr val="FFFFFF"/>
        </a:solidFill>
      </xdr:grpSpPr>
      <xdr:sp>
        <xdr:nvSpPr>
          <xdr:cNvPr id="237" name="AutoShape 237"/>
          <xdr:cNvSpPr>
            <a:spLocks/>
          </xdr:cNvSpPr>
        </xdr:nvSpPr>
        <xdr:spPr>
          <a:xfrm rot="3640816">
            <a:off x="275" y="544"/>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8" name="Arc 238"/>
          <xdr:cNvSpPr>
            <a:spLocks/>
          </xdr:cNvSpPr>
        </xdr:nvSpPr>
        <xdr:spPr>
          <a:xfrm rot="14533253">
            <a:off x="291" y="561"/>
            <a:ext cx="32" cy="31"/>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9" name="Arc 239"/>
          <xdr:cNvSpPr>
            <a:spLocks/>
          </xdr:cNvSpPr>
        </xdr:nvSpPr>
        <xdr:spPr>
          <a:xfrm rot="7066746" flipH="1">
            <a:off x="267" y="562"/>
            <a:ext cx="31" cy="30"/>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0" name="Oval 240"/>
          <xdr:cNvSpPr>
            <a:spLocks/>
          </xdr:cNvSpPr>
        </xdr:nvSpPr>
        <xdr:spPr>
          <a:xfrm>
            <a:off x="295" y="57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25</a:t>
            </a:r>
          </a:p>
        </xdr:txBody>
      </xdr:sp>
    </xdr:grpSp>
    <xdr:clientData/>
  </xdr:twoCellAnchor>
  <xdr:twoCellAnchor editAs="absolute">
    <xdr:from>
      <xdr:col>35</xdr:col>
      <xdr:colOff>114300</xdr:colOff>
      <xdr:row>13</xdr:row>
      <xdr:rowOff>9525</xdr:rowOff>
    </xdr:from>
    <xdr:to>
      <xdr:col>37</xdr:col>
      <xdr:colOff>114300</xdr:colOff>
      <xdr:row>15</xdr:row>
      <xdr:rowOff>133350</xdr:rowOff>
    </xdr:to>
    <xdr:grpSp>
      <xdr:nvGrpSpPr>
        <xdr:cNvPr id="241" name="Group 241"/>
        <xdr:cNvGrpSpPr>
          <a:grpSpLocks/>
        </xdr:cNvGrpSpPr>
      </xdr:nvGrpSpPr>
      <xdr:grpSpPr>
        <a:xfrm>
          <a:off x="6781800" y="2181225"/>
          <a:ext cx="381000" cy="466725"/>
          <a:chOff x="209" y="501"/>
          <a:chExt cx="40" cy="49"/>
        </a:xfrm>
        <a:solidFill>
          <a:srgbClr val="FFFFFF"/>
        </a:solidFill>
      </xdr:grpSpPr>
      <xdr:sp>
        <xdr:nvSpPr>
          <xdr:cNvPr id="242" name="AutoShape 242"/>
          <xdr:cNvSpPr>
            <a:spLocks/>
          </xdr:cNvSpPr>
        </xdr:nvSpPr>
        <xdr:spPr>
          <a:xfrm rot="17959183" flipV="1">
            <a:off x="209" y="504"/>
            <a:ext cx="40" cy="46"/>
          </a:xfrm>
          <a:prstGeom prst="hexagon">
            <a:avLst/>
          </a:prstGeom>
          <a:solidFill>
            <a:srgbClr val="00FF00"/>
          </a:solidFill>
          <a:ln w="952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sp>
        <xdr:nvSpPr>
          <xdr:cNvPr id="243" name="Line 243"/>
          <xdr:cNvSpPr>
            <a:spLocks/>
          </xdr:cNvSpPr>
        </xdr:nvSpPr>
        <xdr:spPr>
          <a:xfrm rot="1884309" flipV="1">
            <a:off x="209" y="527"/>
            <a:ext cx="40" cy="2"/>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4" name="Arc 244"/>
          <xdr:cNvSpPr>
            <a:spLocks/>
          </xdr:cNvSpPr>
        </xdr:nvSpPr>
        <xdr:spPr>
          <a:xfrm rot="2293417" flipV="1">
            <a:off x="209" y="501"/>
            <a:ext cx="18" cy="20"/>
          </a:xfrm>
          <a:prstGeom prst="arc">
            <a:avLst>
              <a:gd name="adj1" fmla="val -20069518"/>
              <a:gd name="adj2" fmla="val 10323888"/>
              <a:gd name="adj3" fmla="val 41342"/>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5" name="Oval 245"/>
          <xdr:cNvSpPr>
            <a:spLocks/>
          </xdr:cNvSpPr>
        </xdr:nvSpPr>
        <xdr:spPr>
          <a:xfrm>
            <a:off x="209" y="522"/>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27</a:t>
            </a:r>
          </a:p>
        </xdr:txBody>
      </xdr:sp>
    </xdr:grpSp>
    <xdr:clientData/>
  </xdr:twoCellAnchor>
  <xdr:twoCellAnchor editAs="absolute">
    <xdr:from>
      <xdr:col>16</xdr:col>
      <xdr:colOff>171450</xdr:colOff>
      <xdr:row>6</xdr:row>
      <xdr:rowOff>133350</xdr:rowOff>
    </xdr:from>
    <xdr:to>
      <xdr:col>19</xdr:col>
      <xdr:colOff>9525</xdr:colOff>
      <xdr:row>9</xdr:row>
      <xdr:rowOff>76200</xdr:rowOff>
    </xdr:to>
    <xdr:grpSp>
      <xdr:nvGrpSpPr>
        <xdr:cNvPr id="246" name="Group 246"/>
        <xdr:cNvGrpSpPr>
          <a:grpSpLocks/>
        </xdr:cNvGrpSpPr>
      </xdr:nvGrpSpPr>
      <xdr:grpSpPr>
        <a:xfrm rot="19800000">
          <a:off x="3219450" y="1104900"/>
          <a:ext cx="409575" cy="457200"/>
          <a:chOff x="254" y="499"/>
          <a:chExt cx="43" cy="48"/>
        </a:xfrm>
        <a:solidFill>
          <a:srgbClr val="FFFFFF"/>
        </a:solidFill>
      </xdr:grpSpPr>
      <xdr:sp>
        <xdr:nvSpPr>
          <xdr:cNvPr id="247" name="AutoShape 247"/>
          <xdr:cNvSpPr>
            <a:spLocks/>
          </xdr:cNvSpPr>
        </xdr:nvSpPr>
        <xdr:spPr>
          <a:xfrm rot="3640816">
            <a:off x="257" y="499"/>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8" name="Line 248"/>
          <xdr:cNvSpPr>
            <a:spLocks/>
          </xdr:cNvSpPr>
        </xdr:nvSpPr>
        <xdr:spPr>
          <a:xfrm rot="19715690">
            <a:off x="257" y="520"/>
            <a:ext cx="40" cy="2"/>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9" name="Arc 249"/>
          <xdr:cNvSpPr>
            <a:spLocks/>
          </xdr:cNvSpPr>
        </xdr:nvSpPr>
        <xdr:spPr>
          <a:xfrm rot="19306582">
            <a:off x="258" y="528"/>
            <a:ext cx="17" cy="19"/>
          </a:xfrm>
          <a:prstGeom prst="arc">
            <a:avLst>
              <a:gd name="adj1" fmla="val -20069518"/>
              <a:gd name="adj2" fmla="val 10323888"/>
              <a:gd name="adj3" fmla="val 41342"/>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0" name="Oval 250"/>
          <xdr:cNvSpPr>
            <a:spLocks/>
          </xdr:cNvSpPr>
        </xdr:nvSpPr>
        <xdr:spPr>
          <a:xfrm>
            <a:off x="254" y="513"/>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26</a:t>
            </a:r>
          </a:p>
        </xdr:txBody>
      </xdr:sp>
    </xdr:grpSp>
    <xdr:clientData/>
  </xdr:twoCellAnchor>
  <xdr:twoCellAnchor editAs="absolute">
    <xdr:from>
      <xdr:col>41</xdr:col>
      <xdr:colOff>57150</xdr:colOff>
      <xdr:row>13</xdr:row>
      <xdr:rowOff>66675</xdr:rowOff>
    </xdr:from>
    <xdr:to>
      <xdr:col>43</xdr:col>
      <xdr:colOff>57150</xdr:colOff>
      <xdr:row>16</xdr:row>
      <xdr:rowOff>66675</xdr:rowOff>
    </xdr:to>
    <xdr:grpSp>
      <xdr:nvGrpSpPr>
        <xdr:cNvPr id="251" name="Group 251"/>
        <xdr:cNvGrpSpPr>
          <a:grpSpLocks/>
        </xdr:cNvGrpSpPr>
      </xdr:nvGrpSpPr>
      <xdr:grpSpPr>
        <a:xfrm>
          <a:off x="7867650" y="2238375"/>
          <a:ext cx="381000" cy="514350"/>
          <a:chOff x="187" y="564"/>
          <a:chExt cx="40" cy="54"/>
        </a:xfrm>
        <a:solidFill>
          <a:srgbClr val="FFFFFF"/>
        </a:solidFill>
      </xdr:grpSpPr>
      <xdr:sp>
        <xdr:nvSpPr>
          <xdr:cNvPr id="252" name="AutoShape 252"/>
          <xdr:cNvSpPr>
            <a:spLocks/>
          </xdr:cNvSpPr>
        </xdr:nvSpPr>
        <xdr:spPr>
          <a:xfrm rot="3640816">
            <a:off x="187" y="564"/>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3" name="Arc 253"/>
          <xdr:cNvSpPr>
            <a:spLocks/>
          </xdr:cNvSpPr>
        </xdr:nvSpPr>
        <xdr:spPr>
          <a:xfrm rot="19306582">
            <a:off x="188" y="593"/>
            <a:ext cx="17" cy="19"/>
          </a:xfrm>
          <a:prstGeom prst="arc">
            <a:avLst>
              <a:gd name="adj1" fmla="val -20069518"/>
              <a:gd name="adj2" fmla="val 10323888"/>
              <a:gd name="adj3" fmla="val 41342"/>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4" name="Arc 254"/>
          <xdr:cNvSpPr>
            <a:spLocks/>
          </xdr:cNvSpPr>
        </xdr:nvSpPr>
        <xdr:spPr>
          <a:xfrm rot="18208223">
            <a:off x="188" y="586"/>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5" name="Oval 255"/>
          <xdr:cNvSpPr>
            <a:spLocks/>
          </xdr:cNvSpPr>
        </xdr:nvSpPr>
        <xdr:spPr>
          <a:xfrm>
            <a:off x="187" y="576"/>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28</a:t>
            </a:r>
          </a:p>
        </xdr:txBody>
      </xdr:sp>
    </xdr:grpSp>
    <xdr:clientData/>
  </xdr:twoCellAnchor>
  <xdr:twoCellAnchor editAs="absolute">
    <xdr:from>
      <xdr:col>40</xdr:col>
      <xdr:colOff>66675</xdr:colOff>
      <xdr:row>15</xdr:row>
      <xdr:rowOff>85725</xdr:rowOff>
    </xdr:from>
    <xdr:to>
      <xdr:col>42</xdr:col>
      <xdr:colOff>66675</xdr:colOff>
      <xdr:row>18</xdr:row>
      <xdr:rowOff>85725</xdr:rowOff>
    </xdr:to>
    <xdr:grpSp>
      <xdr:nvGrpSpPr>
        <xdr:cNvPr id="256" name="Group 256"/>
        <xdr:cNvGrpSpPr>
          <a:grpSpLocks/>
        </xdr:cNvGrpSpPr>
      </xdr:nvGrpSpPr>
      <xdr:grpSpPr>
        <a:xfrm>
          <a:off x="7686675" y="2600325"/>
          <a:ext cx="381000" cy="514350"/>
          <a:chOff x="137" y="558"/>
          <a:chExt cx="40" cy="54"/>
        </a:xfrm>
        <a:solidFill>
          <a:srgbClr val="FFFFFF"/>
        </a:solidFill>
      </xdr:grpSpPr>
      <xdr:sp>
        <xdr:nvSpPr>
          <xdr:cNvPr id="257" name="AutoShape 257"/>
          <xdr:cNvSpPr>
            <a:spLocks/>
          </xdr:cNvSpPr>
        </xdr:nvSpPr>
        <xdr:spPr>
          <a:xfrm rot="17959183" flipV="1">
            <a:off x="137" y="566"/>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8" name="Arc 258"/>
          <xdr:cNvSpPr>
            <a:spLocks/>
          </xdr:cNvSpPr>
        </xdr:nvSpPr>
        <xdr:spPr>
          <a:xfrm rot="2293417" flipV="1">
            <a:off x="138" y="564"/>
            <a:ext cx="17" cy="19"/>
          </a:xfrm>
          <a:prstGeom prst="arc">
            <a:avLst>
              <a:gd name="adj1" fmla="val -20069518"/>
              <a:gd name="adj2" fmla="val 10323888"/>
              <a:gd name="adj3" fmla="val 41342"/>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9" name="Arc 259"/>
          <xdr:cNvSpPr>
            <a:spLocks/>
          </xdr:cNvSpPr>
        </xdr:nvSpPr>
        <xdr:spPr>
          <a:xfrm rot="3391776" flipV="1">
            <a:off x="138" y="558"/>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0" name="Oval 260"/>
          <xdr:cNvSpPr>
            <a:spLocks/>
          </xdr:cNvSpPr>
        </xdr:nvSpPr>
        <xdr:spPr>
          <a:xfrm>
            <a:off x="138" y="584"/>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29</a:t>
            </a:r>
          </a:p>
        </xdr:txBody>
      </xdr:sp>
    </xdr:grpSp>
    <xdr:clientData/>
  </xdr:twoCellAnchor>
  <xdr:twoCellAnchor editAs="absolute">
    <xdr:from>
      <xdr:col>43</xdr:col>
      <xdr:colOff>57150</xdr:colOff>
      <xdr:row>16</xdr:row>
      <xdr:rowOff>19050</xdr:rowOff>
    </xdr:from>
    <xdr:to>
      <xdr:col>46</xdr:col>
      <xdr:colOff>0</xdr:colOff>
      <xdr:row>18</xdr:row>
      <xdr:rowOff>66675</xdr:rowOff>
    </xdr:to>
    <xdr:grpSp>
      <xdr:nvGrpSpPr>
        <xdr:cNvPr id="261" name="Group 261"/>
        <xdr:cNvGrpSpPr>
          <a:grpSpLocks/>
        </xdr:cNvGrpSpPr>
      </xdr:nvGrpSpPr>
      <xdr:grpSpPr>
        <a:xfrm rot="3600000">
          <a:off x="8248650" y="2705100"/>
          <a:ext cx="514350" cy="390525"/>
          <a:chOff x="98" y="526"/>
          <a:chExt cx="41" cy="54"/>
        </a:xfrm>
        <a:solidFill>
          <a:srgbClr val="FFFFFF"/>
        </a:solidFill>
      </xdr:grpSpPr>
      <xdr:sp>
        <xdr:nvSpPr>
          <xdr:cNvPr id="262" name="AutoShape 262"/>
          <xdr:cNvSpPr>
            <a:spLocks/>
          </xdr:cNvSpPr>
        </xdr:nvSpPr>
        <xdr:spPr>
          <a:xfrm rot="17959183" flipV="1">
            <a:off x="99" y="534"/>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3" name="Arc 263"/>
          <xdr:cNvSpPr>
            <a:spLocks/>
          </xdr:cNvSpPr>
        </xdr:nvSpPr>
        <xdr:spPr>
          <a:xfrm rot="3391776" flipV="1">
            <a:off x="100" y="526"/>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4" name="Line 264"/>
          <xdr:cNvSpPr>
            <a:spLocks/>
          </xdr:cNvSpPr>
        </xdr:nvSpPr>
        <xdr:spPr>
          <a:xfrm rot="1884309" flipV="1">
            <a:off x="100" y="557"/>
            <a:ext cx="39" cy="2"/>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5" name="Oval 265"/>
          <xdr:cNvSpPr>
            <a:spLocks/>
          </xdr:cNvSpPr>
        </xdr:nvSpPr>
        <xdr:spPr>
          <a:xfrm>
            <a:off x="98" y="55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24</a:t>
            </a:r>
          </a:p>
        </xdr:txBody>
      </xdr:sp>
    </xdr:grpSp>
    <xdr:clientData/>
  </xdr:twoCellAnchor>
  <xdr:twoCellAnchor editAs="absolute">
    <xdr:from>
      <xdr:col>45</xdr:col>
      <xdr:colOff>114300</xdr:colOff>
      <xdr:row>17</xdr:row>
      <xdr:rowOff>66675</xdr:rowOff>
    </xdr:from>
    <xdr:to>
      <xdr:col>46</xdr:col>
      <xdr:colOff>314325</xdr:colOff>
      <xdr:row>20</xdr:row>
      <xdr:rowOff>66675</xdr:rowOff>
    </xdr:to>
    <xdr:grpSp>
      <xdr:nvGrpSpPr>
        <xdr:cNvPr id="266" name="Group 266"/>
        <xdr:cNvGrpSpPr>
          <a:grpSpLocks/>
        </xdr:cNvGrpSpPr>
      </xdr:nvGrpSpPr>
      <xdr:grpSpPr>
        <a:xfrm>
          <a:off x="8686800" y="2924175"/>
          <a:ext cx="390525" cy="514350"/>
          <a:chOff x="98" y="526"/>
          <a:chExt cx="41" cy="54"/>
        </a:xfrm>
        <a:solidFill>
          <a:srgbClr val="FFFFFF"/>
        </a:solidFill>
      </xdr:grpSpPr>
      <xdr:sp>
        <xdr:nvSpPr>
          <xdr:cNvPr id="267" name="AutoShape 267"/>
          <xdr:cNvSpPr>
            <a:spLocks/>
          </xdr:cNvSpPr>
        </xdr:nvSpPr>
        <xdr:spPr>
          <a:xfrm rot="17959183" flipV="1">
            <a:off x="99" y="534"/>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8" name="Arc 268"/>
          <xdr:cNvSpPr>
            <a:spLocks/>
          </xdr:cNvSpPr>
        </xdr:nvSpPr>
        <xdr:spPr>
          <a:xfrm rot="3391776" flipV="1">
            <a:off x="100" y="526"/>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9" name="Line 269"/>
          <xdr:cNvSpPr>
            <a:spLocks/>
          </xdr:cNvSpPr>
        </xdr:nvSpPr>
        <xdr:spPr>
          <a:xfrm rot="1884309" flipV="1">
            <a:off x="100" y="557"/>
            <a:ext cx="39" cy="2"/>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0" name="Oval 270"/>
          <xdr:cNvSpPr>
            <a:spLocks/>
          </xdr:cNvSpPr>
        </xdr:nvSpPr>
        <xdr:spPr>
          <a:xfrm>
            <a:off x="98" y="55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24</a:t>
            </a:r>
          </a:p>
        </xdr:txBody>
      </xdr:sp>
    </xdr:grpSp>
    <xdr:clientData/>
  </xdr:twoCellAnchor>
  <xdr:twoCellAnchor editAs="absolute">
    <xdr:from>
      <xdr:col>13</xdr:col>
      <xdr:colOff>28575</xdr:colOff>
      <xdr:row>18</xdr:row>
      <xdr:rowOff>38100</xdr:rowOff>
    </xdr:from>
    <xdr:to>
      <xdr:col>15</xdr:col>
      <xdr:colOff>38100</xdr:colOff>
      <xdr:row>21</xdr:row>
      <xdr:rowOff>38100</xdr:rowOff>
    </xdr:to>
    <xdr:grpSp>
      <xdr:nvGrpSpPr>
        <xdr:cNvPr id="271" name="Group 271"/>
        <xdr:cNvGrpSpPr>
          <a:grpSpLocks/>
        </xdr:cNvGrpSpPr>
      </xdr:nvGrpSpPr>
      <xdr:grpSpPr>
        <a:xfrm rot="12600000">
          <a:off x="2505075" y="3067050"/>
          <a:ext cx="390525" cy="514350"/>
          <a:chOff x="148" y="557"/>
          <a:chExt cx="41" cy="54"/>
        </a:xfrm>
        <a:solidFill>
          <a:srgbClr val="FFFFFF"/>
        </a:solidFill>
      </xdr:grpSpPr>
      <xdr:sp>
        <xdr:nvSpPr>
          <xdr:cNvPr id="272" name="AutoShape 272"/>
          <xdr:cNvSpPr>
            <a:spLocks/>
          </xdr:cNvSpPr>
        </xdr:nvSpPr>
        <xdr:spPr>
          <a:xfrm rot="3640816">
            <a:off x="149" y="557"/>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3" name="Arc 273"/>
          <xdr:cNvSpPr>
            <a:spLocks/>
          </xdr:cNvSpPr>
        </xdr:nvSpPr>
        <xdr:spPr>
          <a:xfrm rot="18208223">
            <a:off x="150" y="579"/>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4" name="Line 274"/>
          <xdr:cNvSpPr>
            <a:spLocks/>
          </xdr:cNvSpPr>
        </xdr:nvSpPr>
        <xdr:spPr>
          <a:xfrm rot="19715690">
            <a:off x="150" y="578"/>
            <a:ext cx="39" cy="2"/>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5" name="Oval 275"/>
          <xdr:cNvSpPr>
            <a:spLocks/>
          </xdr:cNvSpPr>
        </xdr:nvSpPr>
        <xdr:spPr>
          <a:xfrm>
            <a:off x="148" y="569"/>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23</a:t>
            </a:r>
          </a:p>
        </xdr:txBody>
      </xdr:sp>
    </xdr:grpSp>
    <xdr:clientData/>
  </xdr:twoCellAnchor>
  <xdr:twoCellAnchor editAs="absolute">
    <xdr:from>
      <xdr:col>46</xdr:col>
      <xdr:colOff>0</xdr:colOff>
      <xdr:row>15</xdr:row>
      <xdr:rowOff>9525</xdr:rowOff>
    </xdr:from>
    <xdr:to>
      <xdr:col>47</xdr:col>
      <xdr:colOff>38100</xdr:colOff>
      <xdr:row>18</xdr:row>
      <xdr:rowOff>9525</xdr:rowOff>
    </xdr:to>
    <xdr:grpSp>
      <xdr:nvGrpSpPr>
        <xdr:cNvPr id="276" name="Group 276"/>
        <xdr:cNvGrpSpPr>
          <a:grpSpLocks/>
        </xdr:cNvGrpSpPr>
      </xdr:nvGrpSpPr>
      <xdr:grpSpPr>
        <a:xfrm rot="10800000">
          <a:off x="8763000" y="2524125"/>
          <a:ext cx="390525" cy="514350"/>
          <a:chOff x="148" y="557"/>
          <a:chExt cx="41" cy="54"/>
        </a:xfrm>
        <a:solidFill>
          <a:srgbClr val="FFFFFF"/>
        </a:solidFill>
      </xdr:grpSpPr>
      <xdr:sp>
        <xdr:nvSpPr>
          <xdr:cNvPr id="277" name="AutoShape 277"/>
          <xdr:cNvSpPr>
            <a:spLocks/>
          </xdr:cNvSpPr>
        </xdr:nvSpPr>
        <xdr:spPr>
          <a:xfrm rot="3640816">
            <a:off x="149" y="557"/>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8" name="Arc 278"/>
          <xdr:cNvSpPr>
            <a:spLocks/>
          </xdr:cNvSpPr>
        </xdr:nvSpPr>
        <xdr:spPr>
          <a:xfrm rot="18208223">
            <a:off x="150" y="579"/>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9" name="Line 279"/>
          <xdr:cNvSpPr>
            <a:spLocks/>
          </xdr:cNvSpPr>
        </xdr:nvSpPr>
        <xdr:spPr>
          <a:xfrm rot="19715690">
            <a:off x="150" y="578"/>
            <a:ext cx="39" cy="2"/>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0" name="Oval 280"/>
          <xdr:cNvSpPr>
            <a:spLocks/>
          </xdr:cNvSpPr>
        </xdr:nvSpPr>
        <xdr:spPr>
          <a:xfrm>
            <a:off x="148" y="569"/>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23</a:t>
            </a:r>
          </a:p>
        </xdr:txBody>
      </xdr:sp>
    </xdr:grpSp>
    <xdr:clientData/>
  </xdr:twoCellAnchor>
  <xdr:twoCellAnchor editAs="absolute">
    <xdr:from>
      <xdr:col>15</xdr:col>
      <xdr:colOff>180975</xdr:colOff>
      <xdr:row>8</xdr:row>
      <xdr:rowOff>133350</xdr:rowOff>
    </xdr:from>
    <xdr:to>
      <xdr:col>18</xdr:col>
      <xdr:colOff>9525</xdr:colOff>
      <xdr:row>11</xdr:row>
      <xdr:rowOff>57150</xdr:rowOff>
    </xdr:to>
    <xdr:grpSp>
      <xdr:nvGrpSpPr>
        <xdr:cNvPr id="281" name="Group 281"/>
        <xdr:cNvGrpSpPr>
          <a:grpSpLocks/>
        </xdr:cNvGrpSpPr>
      </xdr:nvGrpSpPr>
      <xdr:grpSpPr>
        <a:xfrm rot="45000000">
          <a:off x="3038475" y="1447800"/>
          <a:ext cx="400050" cy="438150"/>
          <a:chOff x="264" y="453"/>
          <a:chExt cx="42" cy="46"/>
        </a:xfrm>
        <a:solidFill>
          <a:srgbClr val="FFFFFF"/>
        </a:solidFill>
      </xdr:grpSpPr>
      <xdr:grpSp>
        <xdr:nvGrpSpPr>
          <xdr:cNvPr id="282" name="Group 282"/>
          <xdr:cNvGrpSpPr>
            <a:grpSpLocks/>
          </xdr:cNvGrpSpPr>
        </xdr:nvGrpSpPr>
        <xdr:grpSpPr>
          <a:xfrm>
            <a:off x="266" y="453"/>
            <a:ext cx="40" cy="46"/>
            <a:chOff x="707" y="226"/>
            <a:chExt cx="40" cy="46"/>
          </a:xfrm>
          <a:solidFill>
            <a:srgbClr val="FFFFFF"/>
          </a:solidFill>
        </xdr:grpSpPr>
        <xdr:sp>
          <xdr:nvSpPr>
            <xdr:cNvPr id="283" name="AutoShape 283"/>
            <xdr:cNvSpPr>
              <a:spLocks/>
            </xdr:cNvSpPr>
          </xdr:nvSpPr>
          <xdr:spPr>
            <a:xfrm rot="3640816">
              <a:off x="707" y="226"/>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4" name="Line 284"/>
            <xdr:cNvSpPr>
              <a:spLocks/>
            </xdr:cNvSpPr>
          </xdr:nvSpPr>
          <xdr:spPr>
            <a:xfrm flipH="1">
              <a:off x="727" y="229"/>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5" name="Line 285"/>
            <xdr:cNvSpPr>
              <a:spLocks/>
            </xdr:cNvSpPr>
          </xdr:nvSpPr>
          <xdr:spPr>
            <a:xfrm>
              <a:off x="727" y="248"/>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6" name="Oval 286"/>
            <xdr:cNvSpPr>
              <a:spLocks/>
            </xdr:cNvSpPr>
          </xdr:nvSpPr>
          <xdr:spPr>
            <a:xfrm>
              <a:off x="722" y="243"/>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87" name="Oval 287"/>
          <xdr:cNvSpPr>
            <a:spLocks/>
          </xdr:cNvSpPr>
        </xdr:nvSpPr>
        <xdr:spPr>
          <a:xfrm>
            <a:off x="264" y="467"/>
            <a:ext cx="17" cy="19"/>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206</a:t>
            </a:r>
          </a:p>
        </xdr:txBody>
      </xdr:sp>
      <xdr:grpSp>
        <xdr:nvGrpSpPr>
          <xdr:cNvPr id="288" name="Group 288"/>
          <xdr:cNvGrpSpPr>
            <a:grpSpLocks/>
          </xdr:cNvGrpSpPr>
        </xdr:nvGrpSpPr>
        <xdr:grpSpPr>
          <a:xfrm>
            <a:off x="291" y="461"/>
            <a:ext cx="15" cy="15"/>
            <a:chOff x="679" y="72"/>
            <a:chExt cx="15" cy="15"/>
          </a:xfrm>
          <a:solidFill>
            <a:srgbClr val="FFFFFF"/>
          </a:solidFill>
        </xdr:grpSpPr>
        <xdr:sp>
          <xdr:nvSpPr>
            <xdr:cNvPr id="289" name="Oval 289"/>
            <xdr:cNvSpPr>
              <a:spLocks/>
            </xdr:cNvSpPr>
          </xdr:nvSpPr>
          <xdr:spPr>
            <a:xfrm>
              <a:off x="681" y="75"/>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290" name="Oval 290"/>
            <xdr:cNvSpPr>
              <a:spLocks/>
            </xdr:cNvSpPr>
          </xdr:nvSpPr>
          <xdr:spPr>
            <a:xfrm>
              <a:off x="679" y="72"/>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3</a:t>
              </a:r>
            </a:p>
          </xdr:txBody>
        </xdr:sp>
      </xdr:grpSp>
    </xdr:grpSp>
    <xdr:clientData/>
  </xdr:twoCellAnchor>
  <xdr:twoCellAnchor editAs="absolute">
    <xdr:from>
      <xdr:col>15</xdr:col>
      <xdr:colOff>9525</xdr:colOff>
      <xdr:row>10</xdr:row>
      <xdr:rowOff>133350</xdr:rowOff>
    </xdr:from>
    <xdr:to>
      <xdr:col>17</xdr:col>
      <xdr:colOff>9525</xdr:colOff>
      <xdr:row>13</xdr:row>
      <xdr:rowOff>57150</xdr:rowOff>
    </xdr:to>
    <xdr:grpSp>
      <xdr:nvGrpSpPr>
        <xdr:cNvPr id="291" name="Group 291"/>
        <xdr:cNvGrpSpPr>
          <a:grpSpLocks/>
        </xdr:cNvGrpSpPr>
      </xdr:nvGrpSpPr>
      <xdr:grpSpPr>
        <a:xfrm rot="12600000">
          <a:off x="2867025" y="1790700"/>
          <a:ext cx="381000" cy="438150"/>
          <a:chOff x="284" y="561"/>
          <a:chExt cx="40" cy="46"/>
        </a:xfrm>
        <a:solidFill>
          <a:srgbClr val="FFFFFF"/>
        </a:solidFill>
      </xdr:grpSpPr>
      <xdr:sp>
        <xdr:nvSpPr>
          <xdr:cNvPr id="292" name="AutoShape 292"/>
          <xdr:cNvSpPr>
            <a:spLocks/>
          </xdr:cNvSpPr>
        </xdr:nvSpPr>
        <xdr:spPr>
          <a:xfrm rot="3640816">
            <a:off x="284" y="561"/>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3" name="Line 293"/>
          <xdr:cNvSpPr>
            <a:spLocks/>
          </xdr:cNvSpPr>
        </xdr:nvSpPr>
        <xdr:spPr>
          <a:xfrm>
            <a:off x="304" y="564"/>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4" name="Line 294"/>
          <xdr:cNvSpPr>
            <a:spLocks/>
          </xdr:cNvSpPr>
        </xdr:nvSpPr>
        <xdr:spPr>
          <a:xfrm>
            <a:off x="287" y="574"/>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5" name="Line 295"/>
          <xdr:cNvSpPr>
            <a:spLocks/>
          </xdr:cNvSpPr>
        </xdr:nvSpPr>
        <xdr:spPr>
          <a:xfrm flipV="1">
            <a:off x="287" y="583"/>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6" name="Rectangle 296"/>
          <xdr:cNvSpPr>
            <a:spLocks/>
          </xdr:cNvSpPr>
        </xdr:nvSpPr>
        <xdr:spPr>
          <a:xfrm rot="5400000">
            <a:off x="299" y="573"/>
            <a:ext cx="11" cy="23"/>
          </a:xfrm>
          <a:prstGeom prst="roundRect">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7" name="Oval 297"/>
          <xdr:cNvSpPr>
            <a:spLocks/>
          </xdr:cNvSpPr>
        </xdr:nvSpPr>
        <xdr:spPr>
          <a:xfrm rot="5400000">
            <a:off x="305" y="579"/>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8" name="Oval 298"/>
          <xdr:cNvSpPr>
            <a:spLocks/>
          </xdr:cNvSpPr>
        </xdr:nvSpPr>
        <xdr:spPr>
          <a:xfrm rot="5400000">
            <a:off x="292" y="579"/>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9" name="Oval 299"/>
          <xdr:cNvSpPr>
            <a:spLocks/>
          </xdr:cNvSpPr>
        </xdr:nvSpPr>
        <xdr:spPr>
          <a:xfrm>
            <a:off x="304" y="588"/>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15</a:t>
            </a:r>
          </a:p>
        </xdr:txBody>
      </xdr:sp>
      <xdr:grpSp>
        <xdr:nvGrpSpPr>
          <xdr:cNvPr id="300" name="Group 300"/>
          <xdr:cNvGrpSpPr>
            <a:grpSpLocks/>
          </xdr:cNvGrpSpPr>
        </xdr:nvGrpSpPr>
        <xdr:grpSpPr>
          <a:xfrm>
            <a:off x="306" y="565"/>
            <a:ext cx="15" cy="15"/>
            <a:chOff x="679" y="72"/>
            <a:chExt cx="15" cy="15"/>
          </a:xfrm>
          <a:solidFill>
            <a:srgbClr val="FFFFFF"/>
          </a:solidFill>
        </xdr:grpSpPr>
        <xdr:sp>
          <xdr:nvSpPr>
            <xdr:cNvPr id="301" name="Oval 301"/>
            <xdr:cNvSpPr>
              <a:spLocks/>
            </xdr:cNvSpPr>
          </xdr:nvSpPr>
          <xdr:spPr>
            <a:xfrm>
              <a:off x="681" y="75"/>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302" name="Oval 302"/>
            <xdr:cNvSpPr>
              <a:spLocks/>
            </xdr:cNvSpPr>
          </xdr:nvSpPr>
          <xdr:spPr>
            <a:xfrm>
              <a:off x="679" y="72"/>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3</a:t>
              </a:r>
            </a:p>
          </xdr:txBody>
        </xdr:sp>
      </xdr:grpSp>
    </xdr:grpSp>
    <xdr:clientData/>
  </xdr:twoCellAnchor>
  <xdr:twoCellAnchor editAs="absolute">
    <xdr:from>
      <xdr:col>23</xdr:col>
      <xdr:colOff>85725</xdr:colOff>
      <xdr:row>16</xdr:row>
      <xdr:rowOff>9525</xdr:rowOff>
    </xdr:from>
    <xdr:to>
      <xdr:col>25</xdr:col>
      <xdr:colOff>85725</xdr:colOff>
      <xdr:row>18</xdr:row>
      <xdr:rowOff>104775</xdr:rowOff>
    </xdr:to>
    <xdr:grpSp>
      <xdr:nvGrpSpPr>
        <xdr:cNvPr id="303" name="Group 303"/>
        <xdr:cNvGrpSpPr>
          <a:grpSpLocks/>
        </xdr:cNvGrpSpPr>
      </xdr:nvGrpSpPr>
      <xdr:grpSpPr>
        <a:xfrm rot="19800000">
          <a:off x="4467225" y="2695575"/>
          <a:ext cx="381000" cy="438150"/>
          <a:chOff x="250" y="560"/>
          <a:chExt cx="40" cy="46"/>
        </a:xfrm>
        <a:solidFill>
          <a:srgbClr val="FFFFFF"/>
        </a:solidFill>
      </xdr:grpSpPr>
      <xdr:grpSp>
        <xdr:nvGrpSpPr>
          <xdr:cNvPr id="304" name="Group 304"/>
          <xdr:cNvGrpSpPr>
            <a:grpSpLocks/>
          </xdr:cNvGrpSpPr>
        </xdr:nvGrpSpPr>
        <xdr:grpSpPr>
          <a:xfrm>
            <a:off x="250" y="560"/>
            <a:ext cx="40" cy="46"/>
            <a:chOff x="648" y="264"/>
            <a:chExt cx="40" cy="46"/>
          </a:xfrm>
          <a:solidFill>
            <a:srgbClr val="FFFFFF"/>
          </a:solidFill>
        </xdr:grpSpPr>
        <xdr:sp>
          <xdr:nvSpPr>
            <xdr:cNvPr id="305" name="AutoShape 305"/>
            <xdr:cNvSpPr>
              <a:spLocks/>
            </xdr:cNvSpPr>
          </xdr:nvSpPr>
          <xdr:spPr>
            <a:xfrm rot="3640816">
              <a:off x="648" y="264"/>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6" name="Line 306"/>
            <xdr:cNvSpPr>
              <a:spLocks/>
            </xdr:cNvSpPr>
          </xdr:nvSpPr>
          <xdr:spPr>
            <a:xfrm>
              <a:off x="668" y="267"/>
              <a:ext cx="0" cy="2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7" name="Line 307"/>
            <xdr:cNvSpPr>
              <a:spLocks/>
            </xdr:cNvSpPr>
          </xdr:nvSpPr>
          <xdr:spPr>
            <a:xfrm>
              <a:off x="651" y="277"/>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8" name="Line 308"/>
            <xdr:cNvSpPr>
              <a:spLocks/>
            </xdr:cNvSpPr>
          </xdr:nvSpPr>
          <xdr:spPr>
            <a:xfrm flipV="1">
              <a:off x="651" y="286"/>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9" name="Oval 309"/>
            <xdr:cNvSpPr>
              <a:spLocks/>
            </xdr:cNvSpPr>
          </xdr:nvSpPr>
          <xdr:spPr>
            <a:xfrm>
              <a:off x="663" y="281"/>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10" name="Group 310"/>
          <xdr:cNvGrpSpPr>
            <a:grpSpLocks/>
          </xdr:cNvGrpSpPr>
        </xdr:nvGrpSpPr>
        <xdr:grpSpPr>
          <a:xfrm>
            <a:off x="273" y="567"/>
            <a:ext cx="15" cy="15"/>
            <a:chOff x="679" y="72"/>
            <a:chExt cx="15" cy="15"/>
          </a:xfrm>
          <a:solidFill>
            <a:srgbClr val="FFFFFF"/>
          </a:solidFill>
        </xdr:grpSpPr>
        <xdr:sp>
          <xdr:nvSpPr>
            <xdr:cNvPr id="311" name="Oval 311"/>
            <xdr:cNvSpPr>
              <a:spLocks/>
            </xdr:cNvSpPr>
          </xdr:nvSpPr>
          <xdr:spPr>
            <a:xfrm>
              <a:off x="681" y="75"/>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312" name="Oval 312"/>
            <xdr:cNvSpPr>
              <a:spLocks/>
            </xdr:cNvSpPr>
          </xdr:nvSpPr>
          <xdr:spPr>
            <a:xfrm>
              <a:off x="679" y="72"/>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3</a:t>
              </a:r>
            </a:p>
          </xdr:txBody>
        </xdr:sp>
      </xdr:grpSp>
      <xdr:sp>
        <xdr:nvSpPr>
          <xdr:cNvPr id="313" name="Oval 313"/>
          <xdr:cNvSpPr>
            <a:spLocks/>
          </xdr:cNvSpPr>
        </xdr:nvSpPr>
        <xdr:spPr>
          <a:xfrm>
            <a:off x="269" y="587"/>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12</a:t>
            </a:r>
          </a:p>
        </xdr:txBody>
      </xdr:sp>
    </xdr:grpSp>
    <xdr:clientData/>
  </xdr:twoCellAnchor>
  <xdr:twoCellAnchor editAs="absolute">
    <xdr:from>
      <xdr:col>10</xdr:col>
      <xdr:colOff>0</xdr:colOff>
      <xdr:row>8</xdr:row>
      <xdr:rowOff>133350</xdr:rowOff>
    </xdr:from>
    <xdr:to>
      <xdr:col>12</xdr:col>
      <xdr:colOff>0</xdr:colOff>
      <xdr:row>11</xdr:row>
      <xdr:rowOff>57150</xdr:rowOff>
    </xdr:to>
    <xdr:grpSp>
      <xdr:nvGrpSpPr>
        <xdr:cNvPr id="314" name="Group 314"/>
        <xdr:cNvGrpSpPr>
          <a:grpSpLocks/>
        </xdr:cNvGrpSpPr>
      </xdr:nvGrpSpPr>
      <xdr:grpSpPr>
        <a:xfrm rot="34200000">
          <a:off x="1905000" y="1447800"/>
          <a:ext cx="381000" cy="438150"/>
          <a:chOff x="284" y="561"/>
          <a:chExt cx="40" cy="46"/>
        </a:xfrm>
        <a:solidFill>
          <a:srgbClr val="FFFFFF"/>
        </a:solidFill>
      </xdr:grpSpPr>
      <xdr:sp>
        <xdr:nvSpPr>
          <xdr:cNvPr id="315" name="AutoShape 315"/>
          <xdr:cNvSpPr>
            <a:spLocks/>
          </xdr:cNvSpPr>
        </xdr:nvSpPr>
        <xdr:spPr>
          <a:xfrm rot="3640816">
            <a:off x="284" y="561"/>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6" name="Line 316"/>
          <xdr:cNvSpPr>
            <a:spLocks/>
          </xdr:cNvSpPr>
        </xdr:nvSpPr>
        <xdr:spPr>
          <a:xfrm>
            <a:off x="304" y="564"/>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7" name="Line 317"/>
          <xdr:cNvSpPr>
            <a:spLocks/>
          </xdr:cNvSpPr>
        </xdr:nvSpPr>
        <xdr:spPr>
          <a:xfrm>
            <a:off x="287" y="574"/>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8" name="Line 318"/>
          <xdr:cNvSpPr>
            <a:spLocks/>
          </xdr:cNvSpPr>
        </xdr:nvSpPr>
        <xdr:spPr>
          <a:xfrm flipV="1">
            <a:off x="287" y="583"/>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9" name="Rectangle 319"/>
          <xdr:cNvSpPr>
            <a:spLocks/>
          </xdr:cNvSpPr>
        </xdr:nvSpPr>
        <xdr:spPr>
          <a:xfrm rot="5400000">
            <a:off x="299" y="573"/>
            <a:ext cx="11" cy="23"/>
          </a:xfrm>
          <a:prstGeom prst="roundRect">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0" name="Oval 320"/>
          <xdr:cNvSpPr>
            <a:spLocks/>
          </xdr:cNvSpPr>
        </xdr:nvSpPr>
        <xdr:spPr>
          <a:xfrm rot="5400000">
            <a:off x="305" y="579"/>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1" name="Oval 321"/>
          <xdr:cNvSpPr>
            <a:spLocks/>
          </xdr:cNvSpPr>
        </xdr:nvSpPr>
        <xdr:spPr>
          <a:xfrm rot="5400000">
            <a:off x="292" y="579"/>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2" name="Oval 322"/>
          <xdr:cNvSpPr>
            <a:spLocks/>
          </xdr:cNvSpPr>
        </xdr:nvSpPr>
        <xdr:spPr>
          <a:xfrm>
            <a:off x="304" y="588"/>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15</a:t>
            </a:r>
          </a:p>
        </xdr:txBody>
      </xdr:sp>
      <xdr:grpSp>
        <xdr:nvGrpSpPr>
          <xdr:cNvPr id="323" name="Group 323"/>
          <xdr:cNvGrpSpPr>
            <a:grpSpLocks/>
          </xdr:cNvGrpSpPr>
        </xdr:nvGrpSpPr>
        <xdr:grpSpPr>
          <a:xfrm>
            <a:off x="306" y="565"/>
            <a:ext cx="15" cy="15"/>
            <a:chOff x="679" y="72"/>
            <a:chExt cx="15" cy="15"/>
          </a:xfrm>
          <a:solidFill>
            <a:srgbClr val="FFFFFF"/>
          </a:solidFill>
        </xdr:grpSpPr>
        <xdr:sp>
          <xdr:nvSpPr>
            <xdr:cNvPr id="324" name="Oval 324"/>
            <xdr:cNvSpPr>
              <a:spLocks/>
            </xdr:cNvSpPr>
          </xdr:nvSpPr>
          <xdr:spPr>
            <a:xfrm>
              <a:off x="681" y="75"/>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325" name="Oval 325"/>
            <xdr:cNvSpPr>
              <a:spLocks/>
            </xdr:cNvSpPr>
          </xdr:nvSpPr>
          <xdr:spPr>
            <a:xfrm>
              <a:off x="679" y="72"/>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3</a:t>
              </a:r>
            </a:p>
          </xdr:txBody>
        </xdr:sp>
      </xdr:grpSp>
    </xdr:grpSp>
    <xdr:clientData/>
  </xdr:twoCellAnchor>
  <xdr:twoCellAnchor editAs="absolute">
    <xdr:from>
      <xdr:col>28</xdr:col>
      <xdr:colOff>95250</xdr:colOff>
      <xdr:row>21</xdr:row>
      <xdr:rowOff>19050</xdr:rowOff>
    </xdr:from>
    <xdr:to>
      <xdr:col>30</xdr:col>
      <xdr:colOff>123825</xdr:colOff>
      <xdr:row>23</xdr:row>
      <xdr:rowOff>114300</xdr:rowOff>
    </xdr:to>
    <xdr:grpSp>
      <xdr:nvGrpSpPr>
        <xdr:cNvPr id="326" name="Group 326"/>
        <xdr:cNvGrpSpPr>
          <a:grpSpLocks/>
        </xdr:cNvGrpSpPr>
      </xdr:nvGrpSpPr>
      <xdr:grpSpPr>
        <a:xfrm rot="1800000">
          <a:off x="5429250" y="3562350"/>
          <a:ext cx="409575" cy="438150"/>
          <a:chOff x="290" y="565"/>
          <a:chExt cx="43" cy="46"/>
        </a:xfrm>
        <a:solidFill>
          <a:srgbClr val="FFFFFF"/>
        </a:solidFill>
      </xdr:grpSpPr>
      <xdr:sp>
        <xdr:nvSpPr>
          <xdr:cNvPr id="327" name="AutoShape 327"/>
          <xdr:cNvSpPr>
            <a:spLocks/>
          </xdr:cNvSpPr>
        </xdr:nvSpPr>
        <xdr:spPr>
          <a:xfrm rot="3640816">
            <a:off x="290" y="565"/>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8" name="Line 328"/>
          <xdr:cNvSpPr>
            <a:spLocks/>
          </xdr:cNvSpPr>
        </xdr:nvSpPr>
        <xdr:spPr>
          <a:xfrm>
            <a:off x="310" y="568"/>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9" name="Line 329"/>
          <xdr:cNvSpPr>
            <a:spLocks/>
          </xdr:cNvSpPr>
        </xdr:nvSpPr>
        <xdr:spPr>
          <a:xfrm>
            <a:off x="293" y="578"/>
            <a:ext cx="34" cy="2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30" name="Group 330"/>
          <xdr:cNvGrpSpPr>
            <a:grpSpLocks/>
          </xdr:cNvGrpSpPr>
        </xdr:nvGrpSpPr>
        <xdr:grpSpPr>
          <a:xfrm rot="3552312">
            <a:off x="298" y="583"/>
            <a:ext cx="24" cy="11"/>
            <a:chOff x="237" y="169"/>
            <a:chExt cx="11" cy="24"/>
          </a:xfrm>
          <a:solidFill>
            <a:srgbClr val="FFFFFF"/>
          </a:solidFill>
        </xdr:grpSpPr>
        <xdr:sp>
          <xdr:nvSpPr>
            <xdr:cNvPr id="331" name="Rectangle 331"/>
            <xdr:cNvSpPr>
              <a:spLocks/>
            </xdr:cNvSpPr>
          </xdr:nvSpPr>
          <xdr:spPr>
            <a:xfrm>
              <a:off x="237" y="169"/>
              <a:ext cx="11" cy="23"/>
            </a:xfrm>
            <a:prstGeom prst="roundRect">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2" name="Oval 332"/>
            <xdr:cNvSpPr>
              <a:spLocks/>
            </xdr:cNvSpPr>
          </xdr:nvSpPr>
          <xdr:spPr>
            <a:xfrm>
              <a:off x="237" y="169"/>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3" name="Oval 333"/>
            <xdr:cNvSpPr>
              <a:spLocks/>
            </xdr:cNvSpPr>
          </xdr:nvSpPr>
          <xdr:spPr>
            <a:xfrm>
              <a:off x="237" y="182"/>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34" name="Oval 334"/>
          <xdr:cNvSpPr>
            <a:spLocks/>
          </xdr:cNvSpPr>
        </xdr:nvSpPr>
        <xdr:spPr>
          <a:xfrm>
            <a:off x="318" y="580"/>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14</a:t>
            </a:r>
          </a:p>
        </xdr:txBody>
      </xdr:sp>
      <xdr:grpSp>
        <xdr:nvGrpSpPr>
          <xdr:cNvPr id="335" name="Group 335"/>
          <xdr:cNvGrpSpPr>
            <a:grpSpLocks/>
          </xdr:cNvGrpSpPr>
        </xdr:nvGrpSpPr>
        <xdr:grpSpPr>
          <a:xfrm>
            <a:off x="296" y="568"/>
            <a:ext cx="15" cy="15"/>
            <a:chOff x="679" y="72"/>
            <a:chExt cx="15" cy="15"/>
          </a:xfrm>
          <a:solidFill>
            <a:srgbClr val="FFFFFF"/>
          </a:solidFill>
        </xdr:grpSpPr>
        <xdr:sp>
          <xdr:nvSpPr>
            <xdr:cNvPr id="336" name="Oval 336"/>
            <xdr:cNvSpPr>
              <a:spLocks/>
            </xdr:cNvSpPr>
          </xdr:nvSpPr>
          <xdr:spPr>
            <a:xfrm>
              <a:off x="681" y="75"/>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337" name="Oval 337"/>
            <xdr:cNvSpPr>
              <a:spLocks/>
            </xdr:cNvSpPr>
          </xdr:nvSpPr>
          <xdr:spPr>
            <a:xfrm>
              <a:off x="679" y="72"/>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3</a:t>
              </a:r>
            </a:p>
          </xdr:txBody>
        </xdr:sp>
      </xdr:grpSp>
    </xdr:grpSp>
    <xdr:clientData/>
  </xdr:twoCellAnchor>
  <xdr:twoCellAnchor editAs="absolute">
    <xdr:from>
      <xdr:col>17</xdr:col>
      <xdr:colOff>171450</xdr:colOff>
      <xdr:row>4</xdr:row>
      <xdr:rowOff>133350</xdr:rowOff>
    </xdr:from>
    <xdr:to>
      <xdr:col>20</xdr:col>
      <xdr:colOff>9525</xdr:colOff>
      <xdr:row>7</xdr:row>
      <xdr:rowOff>57150</xdr:rowOff>
    </xdr:to>
    <xdr:grpSp>
      <xdr:nvGrpSpPr>
        <xdr:cNvPr id="338" name="Group 338"/>
        <xdr:cNvGrpSpPr>
          <a:grpSpLocks/>
        </xdr:cNvGrpSpPr>
      </xdr:nvGrpSpPr>
      <xdr:grpSpPr>
        <a:xfrm rot="12600000">
          <a:off x="3409950" y="762000"/>
          <a:ext cx="409575" cy="438150"/>
          <a:chOff x="290" y="565"/>
          <a:chExt cx="43" cy="46"/>
        </a:xfrm>
        <a:solidFill>
          <a:srgbClr val="FFFFFF"/>
        </a:solidFill>
      </xdr:grpSpPr>
      <xdr:sp>
        <xdr:nvSpPr>
          <xdr:cNvPr id="339" name="AutoShape 339"/>
          <xdr:cNvSpPr>
            <a:spLocks/>
          </xdr:cNvSpPr>
        </xdr:nvSpPr>
        <xdr:spPr>
          <a:xfrm rot="3640816">
            <a:off x="290" y="565"/>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0" name="Line 340"/>
          <xdr:cNvSpPr>
            <a:spLocks/>
          </xdr:cNvSpPr>
        </xdr:nvSpPr>
        <xdr:spPr>
          <a:xfrm>
            <a:off x="310" y="568"/>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1" name="Line 341"/>
          <xdr:cNvSpPr>
            <a:spLocks/>
          </xdr:cNvSpPr>
        </xdr:nvSpPr>
        <xdr:spPr>
          <a:xfrm>
            <a:off x="293" y="578"/>
            <a:ext cx="34" cy="2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42" name="Group 342"/>
          <xdr:cNvGrpSpPr>
            <a:grpSpLocks/>
          </xdr:cNvGrpSpPr>
        </xdr:nvGrpSpPr>
        <xdr:grpSpPr>
          <a:xfrm rot="3552312">
            <a:off x="298" y="583"/>
            <a:ext cx="24" cy="11"/>
            <a:chOff x="237" y="169"/>
            <a:chExt cx="11" cy="24"/>
          </a:xfrm>
          <a:solidFill>
            <a:srgbClr val="FFFFFF"/>
          </a:solidFill>
        </xdr:grpSpPr>
        <xdr:sp>
          <xdr:nvSpPr>
            <xdr:cNvPr id="343" name="Rectangle 343"/>
            <xdr:cNvSpPr>
              <a:spLocks/>
            </xdr:cNvSpPr>
          </xdr:nvSpPr>
          <xdr:spPr>
            <a:xfrm>
              <a:off x="237" y="169"/>
              <a:ext cx="11" cy="23"/>
            </a:xfrm>
            <a:prstGeom prst="roundRect">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4" name="Oval 344"/>
            <xdr:cNvSpPr>
              <a:spLocks/>
            </xdr:cNvSpPr>
          </xdr:nvSpPr>
          <xdr:spPr>
            <a:xfrm>
              <a:off x="237" y="169"/>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5" name="Oval 345"/>
            <xdr:cNvSpPr>
              <a:spLocks/>
            </xdr:cNvSpPr>
          </xdr:nvSpPr>
          <xdr:spPr>
            <a:xfrm>
              <a:off x="237" y="182"/>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46" name="Oval 346"/>
          <xdr:cNvSpPr>
            <a:spLocks/>
          </xdr:cNvSpPr>
        </xdr:nvSpPr>
        <xdr:spPr>
          <a:xfrm>
            <a:off x="318" y="580"/>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14</a:t>
            </a:r>
          </a:p>
        </xdr:txBody>
      </xdr:sp>
      <xdr:grpSp>
        <xdr:nvGrpSpPr>
          <xdr:cNvPr id="347" name="Group 347"/>
          <xdr:cNvGrpSpPr>
            <a:grpSpLocks/>
          </xdr:cNvGrpSpPr>
        </xdr:nvGrpSpPr>
        <xdr:grpSpPr>
          <a:xfrm>
            <a:off x="296" y="568"/>
            <a:ext cx="15" cy="15"/>
            <a:chOff x="679" y="72"/>
            <a:chExt cx="15" cy="15"/>
          </a:xfrm>
          <a:solidFill>
            <a:srgbClr val="FFFFFF"/>
          </a:solidFill>
        </xdr:grpSpPr>
        <xdr:sp>
          <xdr:nvSpPr>
            <xdr:cNvPr id="348" name="Oval 348"/>
            <xdr:cNvSpPr>
              <a:spLocks/>
            </xdr:cNvSpPr>
          </xdr:nvSpPr>
          <xdr:spPr>
            <a:xfrm>
              <a:off x="681" y="75"/>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349" name="Oval 349"/>
            <xdr:cNvSpPr>
              <a:spLocks/>
            </xdr:cNvSpPr>
          </xdr:nvSpPr>
          <xdr:spPr>
            <a:xfrm>
              <a:off x="679" y="72"/>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3</a:t>
              </a:r>
            </a:p>
          </xdr:txBody>
        </xdr:sp>
      </xdr:grpSp>
    </xdr:grpSp>
    <xdr:clientData/>
  </xdr:twoCellAnchor>
  <xdr:twoCellAnchor editAs="absolute">
    <xdr:from>
      <xdr:col>27</xdr:col>
      <xdr:colOff>152400</xdr:colOff>
      <xdr:row>13</xdr:row>
      <xdr:rowOff>142875</xdr:rowOff>
    </xdr:from>
    <xdr:to>
      <xdr:col>29</xdr:col>
      <xdr:colOff>180975</xdr:colOff>
      <xdr:row>16</xdr:row>
      <xdr:rowOff>85725</xdr:rowOff>
    </xdr:to>
    <xdr:grpSp>
      <xdr:nvGrpSpPr>
        <xdr:cNvPr id="350" name="Group 350"/>
        <xdr:cNvGrpSpPr>
          <a:grpSpLocks/>
        </xdr:cNvGrpSpPr>
      </xdr:nvGrpSpPr>
      <xdr:grpSpPr>
        <a:xfrm rot="9000000">
          <a:off x="5295900" y="2314575"/>
          <a:ext cx="409575" cy="457200"/>
          <a:chOff x="432" y="474"/>
          <a:chExt cx="43" cy="48"/>
        </a:xfrm>
        <a:solidFill>
          <a:srgbClr val="FFFFFF"/>
        </a:solidFill>
      </xdr:grpSpPr>
      <xdr:sp>
        <xdr:nvSpPr>
          <xdr:cNvPr id="351" name="AutoShape 351"/>
          <xdr:cNvSpPr>
            <a:spLocks/>
          </xdr:cNvSpPr>
        </xdr:nvSpPr>
        <xdr:spPr>
          <a:xfrm rot="3640816">
            <a:off x="433" y="474"/>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2" name="Line 352"/>
          <xdr:cNvSpPr>
            <a:spLocks/>
          </xdr:cNvSpPr>
        </xdr:nvSpPr>
        <xdr:spPr>
          <a:xfrm>
            <a:off x="453" y="477"/>
            <a:ext cx="0" cy="2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3" name="Line 353"/>
          <xdr:cNvSpPr>
            <a:spLocks/>
          </xdr:cNvSpPr>
        </xdr:nvSpPr>
        <xdr:spPr>
          <a:xfrm>
            <a:off x="436" y="487"/>
            <a:ext cx="34" cy="2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4" name="Line 354"/>
          <xdr:cNvSpPr>
            <a:spLocks/>
          </xdr:cNvSpPr>
        </xdr:nvSpPr>
        <xdr:spPr>
          <a:xfrm flipV="1">
            <a:off x="436" y="496"/>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55" name="Group 355"/>
          <xdr:cNvGrpSpPr>
            <a:grpSpLocks/>
          </xdr:cNvGrpSpPr>
        </xdr:nvGrpSpPr>
        <xdr:grpSpPr>
          <a:xfrm rot="1860495">
            <a:off x="448" y="485"/>
            <a:ext cx="11" cy="24"/>
            <a:chOff x="237" y="169"/>
            <a:chExt cx="11" cy="24"/>
          </a:xfrm>
          <a:solidFill>
            <a:srgbClr val="FFFFFF"/>
          </a:solidFill>
        </xdr:grpSpPr>
        <xdr:sp>
          <xdr:nvSpPr>
            <xdr:cNvPr id="356" name="Rectangle 356"/>
            <xdr:cNvSpPr>
              <a:spLocks/>
            </xdr:cNvSpPr>
          </xdr:nvSpPr>
          <xdr:spPr>
            <a:xfrm>
              <a:off x="237" y="169"/>
              <a:ext cx="11" cy="23"/>
            </a:xfrm>
            <a:prstGeom prst="roundRect">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7" name="Oval 357"/>
            <xdr:cNvSpPr>
              <a:spLocks/>
            </xdr:cNvSpPr>
          </xdr:nvSpPr>
          <xdr:spPr>
            <a:xfrm>
              <a:off x="237" y="169"/>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8" name="Oval 358"/>
            <xdr:cNvSpPr>
              <a:spLocks/>
            </xdr:cNvSpPr>
          </xdr:nvSpPr>
          <xdr:spPr>
            <a:xfrm>
              <a:off x="237" y="182"/>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59" name="Group 359"/>
          <xdr:cNvGrpSpPr>
            <a:grpSpLocks/>
          </xdr:cNvGrpSpPr>
        </xdr:nvGrpSpPr>
        <xdr:grpSpPr>
          <a:xfrm>
            <a:off x="438" y="476"/>
            <a:ext cx="15" cy="15"/>
            <a:chOff x="694" y="88"/>
            <a:chExt cx="15" cy="15"/>
          </a:xfrm>
          <a:solidFill>
            <a:srgbClr val="FFFFFF"/>
          </a:solidFill>
        </xdr:grpSpPr>
        <xdr:sp>
          <xdr:nvSpPr>
            <xdr:cNvPr id="360" name="Oval 360"/>
            <xdr:cNvSpPr>
              <a:spLocks/>
            </xdr:cNvSpPr>
          </xdr:nvSpPr>
          <xdr:spPr>
            <a:xfrm>
              <a:off x="697" y="91"/>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361" name="Oval 361"/>
            <xdr:cNvSpPr>
              <a:spLocks/>
            </xdr:cNvSpPr>
          </xdr:nvSpPr>
          <xdr:spPr>
            <a:xfrm>
              <a:off x="694" y="88"/>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a:t>
              </a:r>
            </a:p>
          </xdr:txBody>
        </xdr:sp>
      </xdr:grpSp>
      <xdr:sp>
        <xdr:nvSpPr>
          <xdr:cNvPr id="362" name="Oval 362"/>
          <xdr:cNvSpPr>
            <a:spLocks/>
          </xdr:cNvSpPr>
        </xdr:nvSpPr>
        <xdr:spPr>
          <a:xfrm>
            <a:off x="448" y="502"/>
            <a:ext cx="19" cy="20"/>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特</a:t>
            </a:r>
          </a:p>
        </xdr:txBody>
      </xdr:sp>
      <xdr:sp>
        <xdr:nvSpPr>
          <xdr:cNvPr id="363" name="Oval 363"/>
          <xdr:cNvSpPr>
            <a:spLocks/>
          </xdr:cNvSpPr>
        </xdr:nvSpPr>
        <xdr:spPr>
          <a:xfrm>
            <a:off x="432" y="490"/>
            <a:ext cx="12" cy="13"/>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Y</a:t>
            </a:r>
          </a:p>
        </xdr:txBody>
      </xdr:sp>
      <xdr:sp>
        <xdr:nvSpPr>
          <xdr:cNvPr id="364" name="Oval 364"/>
          <xdr:cNvSpPr>
            <a:spLocks/>
          </xdr:cNvSpPr>
        </xdr:nvSpPr>
        <xdr:spPr>
          <a:xfrm>
            <a:off x="460" y="487"/>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南</a:t>
            </a:r>
          </a:p>
        </xdr:txBody>
      </xdr:sp>
    </xdr:grpSp>
    <xdr:clientData/>
  </xdr:twoCellAnchor>
  <xdr:twoCellAnchor editAs="absolute">
    <xdr:from>
      <xdr:col>33</xdr:col>
      <xdr:colOff>104775</xdr:colOff>
      <xdr:row>21</xdr:row>
      <xdr:rowOff>133350</xdr:rowOff>
    </xdr:from>
    <xdr:to>
      <xdr:col>35</xdr:col>
      <xdr:colOff>104775</xdr:colOff>
      <xdr:row>24</xdr:row>
      <xdr:rowOff>57150</xdr:rowOff>
    </xdr:to>
    <xdr:grpSp>
      <xdr:nvGrpSpPr>
        <xdr:cNvPr id="365" name="Group 365"/>
        <xdr:cNvGrpSpPr>
          <a:grpSpLocks/>
        </xdr:cNvGrpSpPr>
      </xdr:nvGrpSpPr>
      <xdr:grpSpPr>
        <a:xfrm rot="23400000">
          <a:off x="6391275" y="3676650"/>
          <a:ext cx="381000" cy="438150"/>
          <a:chOff x="408" y="524"/>
          <a:chExt cx="40" cy="46"/>
        </a:xfrm>
        <a:solidFill>
          <a:srgbClr val="FFFFFF"/>
        </a:solidFill>
      </xdr:grpSpPr>
      <xdr:sp>
        <xdr:nvSpPr>
          <xdr:cNvPr id="366" name="AutoShape 366"/>
          <xdr:cNvSpPr>
            <a:spLocks/>
          </xdr:cNvSpPr>
        </xdr:nvSpPr>
        <xdr:spPr>
          <a:xfrm rot="3640816">
            <a:off x="408" y="524"/>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7" name="Line 367"/>
          <xdr:cNvSpPr>
            <a:spLocks/>
          </xdr:cNvSpPr>
        </xdr:nvSpPr>
        <xdr:spPr>
          <a:xfrm>
            <a:off x="428" y="527"/>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8" name="Line 368"/>
          <xdr:cNvSpPr>
            <a:spLocks/>
          </xdr:cNvSpPr>
        </xdr:nvSpPr>
        <xdr:spPr>
          <a:xfrm>
            <a:off x="411" y="537"/>
            <a:ext cx="34" cy="2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69" name="Group 369"/>
          <xdr:cNvGrpSpPr>
            <a:grpSpLocks/>
          </xdr:cNvGrpSpPr>
        </xdr:nvGrpSpPr>
        <xdr:grpSpPr>
          <a:xfrm rot="19562698">
            <a:off x="419" y="535"/>
            <a:ext cx="22" cy="24"/>
            <a:chOff x="629" y="295"/>
            <a:chExt cx="22" cy="24"/>
          </a:xfrm>
          <a:solidFill>
            <a:srgbClr val="FFFFFF"/>
          </a:solidFill>
        </xdr:grpSpPr>
        <xdr:sp>
          <xdr:nvSpPr>
            <xdr:cNvPr id="370" name="Polygon 370"/>
            <xdr:cNvSpPr>
              <a:spLocks/>
            </xdr:cNvSpPr>
          </xdr:nvSpPr>
          <xdr:spPr>
            <a:xfrm>
              <a:off x="629" y="296"/>
              <a:ext cx="19" cy="22"/>
            </a:xfrm>
            <a:custGeom>
              <a:pathLst>
                <a:path h="23" w="20">
                  <a:moveTo>
                    <a:pt x="0" y="18"/>
                  </a:moveTo>
                  <a:lnTo>
                    <a:pt x="0" y="5"/>
                  </a:lnTo>
                  <a:lnTo>
                    <a:pt x="8" y="0"/>
                  </a:lnTo>
                  <a:lnTo>
                    <a:pt x="20" y="7"/>
                  </a:lnTo>
                  <a:lnTo>
                    <a:pt x="20" y="16"/>
                  </a:lnTo>
                  <a:lnTo>
                    <a:pt x="9" y="23"/>
                  </a:lnTo>
                  <a:lnTo>
                    <a:pt x="0" y="18"/>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1" name="Oval 371"/>
            <xdr:cNvSpPr>
              <a:spLocks/>
            </xdr:cNvSpPr>
          </xdr:nvSpPr>
          <xdr:spPr>
            <a:xfrm>
              <a:off x="640" y="301"/>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2" name="Oval 372"/>
            <xdr:cNvSpPr>
              <a:spLocks/>
            </xdr:cNvSpPr>
          </xdr:nvSpPr>
          <xdr:spPr>
            <a:xfrm>
              <a:off x="629" y="295"/>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3" name="Oval 373"/>
            <xdr:cNvSpPr>
              <a:spLocks/>
            </xdr:cNvSpPr>
          </xdr:nvSpPr>
          <xdr:spPr>
            <a:xfrm>
              <a:off x="629" y="308"/>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74" name="Group 374"/>
          <xdr:cNvGrpSpPr>
            <a:grpSpLocks/>
          </xdr:cNvGrpSpPr>
        </xdr:nvGrpSpPr>
        <xdr:grpSpPr>
          <a:xfrm>
            <a:off x="414" y="525"/>
            <a:ext cx="15" cy="15"/>
            <a:chOff x="711" y="103"/>
            <a:chExt cx="15" cy="15"/>
          </a:xfrm>
          <a:solidFill>
            <a:srgbClr val="FFFFFF"/>
          </a:solidFill>
        </xdr:grpSpPr>
        <xdr:sp>
          <xdr:nvSpPr>
            <xdr:cNvPr id="375" name="Oval 375"/>
            <xdr:cNvSpPr>
              <a:spLocks/>
            </xdr:cNvSpPr>
          </xdr:nvSpPr>
          <xdr:spPr>
            <a:xfrm>
              <a:off x="713" y="107"/>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376" name="Oval 376"/>
            <xdr:cNvSpPr>
              <a:spLocks/>
            </xdr:cNvSpPr>
          </xdr:nvSpPr>
          <xdr:spPr>
            <a:xfrm>
              <a:off x="711" y="103"/>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5</a:t>
              </a:r>
            </a:p>
          </xdr:txBody>
        </xdr:sp>
      </xdr:grpSp>
      <xdr:sp>
        <xdr:nvSpPr>
          <xdr:cNvPr id="377" name="Oval 377"/>
          <xdr:cNvSpPr>
            <a:spLocks/>
          </xdr:cNvSpPr>
        </xdr:nvSpPr>
        <xdr:spPr>
          <a:xfrm>
            <a:off x="428" y="525"/>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北</a:t>
            </a:r>
          </a:p>
        </xdr:txBody>
      </xdr:sp>
      <xdr:sp>
        <xdr:nvSpPr>
          <xdr:cNvPr id="378" name="Oval 378"/>
          <xdr:cNvSpPr>
            <a:spLocks/>
          </xdr:cNvSpPr>
        </xdr:nvSpPr>
        <xdr:spPr>
          <a:xfrm>
            <a:off x="411" y="552"/>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特</a:t>
            </a:r>
          </a:p>
        </xdr:txBody>
      </xdr:sp>
    </xdr:grpSp>
    <xdr:clientData/>
  </xdr:twoCellAnchor>
  <xdr:twoCellAnchor editAs="absolute">
    <xdr:from>
      <xdr:col>11</xdr:col>
      <xdr:colOff>180975</xdr:colOff>
      <xdr:row>16</xdr:row>
      <xdr:rowOff>123825</xdr:rowOff>
    </xdr:from>
    <xdr:to>
      <xdr:col>14</xdr:col>
      <xdr:colOff>9525</xdr:colOff>
      <xdr:row>19</xdr:row>
      <xdr:rowOff>47625</xdr:rowOff>
    </xdr:to>
    <xdr:grpSp>
      <xdr:nvGrpSpPr>
        <xdr:cNvPr id="379" name="Group 379"/>
        <xdr:cNvGrpSpPr>
          <a:grpSpLocks/>
        </xdr:cNvGrpSpPr>
      </xdr:nvGrpSpPr>
      <xdr:grpSpPr>
        <a:xfrm rot="1800000">
          <a:off x="2276475" y="2809875"/>
          <a:ext cx="400050" cy="438150"/>
          <a:chOff x="463" y="453"/>
          <a:chExt cx="42" cy="46"/>
        </a:xfrm>
        <a:solidFill>
          <a:srgbClr val="FFFFFF"/>
        </a:solidFill>
      </xdr:grpSpPr>
      <xdr:sp>
        <xdr:nvSpPr>
          <xdr:cNvPr id="380" name="AutoShape 380"/>
          <xdr:cNvSpPr>
            <a:spLocks/>
          </xdr:cNvSpPr>
        </xdr:nvSpPr>
        <xdr:spPr>
          <a:xfrm rot="3640816">
            <a:off x="465" y="453"/>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1" name="Line 381"/>
          <xdr:cNvSpPr>
            <a:spLocks/>
          </xdr:cNvSpPr>
        </xdr:nvSpPr>
        <xdr:spPr>
          <a:xfrm>
            <a:off x="485" y="456"/>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2" name="Line 382"/>
          <xdr:cNvSpPr>
            <a:spLocks/>
          </xdr:cNvSpPr>
        </xdr:nvSpPr>
        <xdr:spPr>
          <a:xfrm>
            <a:off x="468" y="466"/>
            <a:ext cx="34" cy="2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83" name="Group 383"/>
          <xdr:cNvGrpSpPr>
            <a:grpSpLocks/>
          </xdr:cNvGrpSpPr>
        </xdr:nvGrpSpPr>
        <xdr:grpSpPr>
          <a:xfrm rot="3552312">
            <a:off x="473" y="471"/>
            <a:ext cx="24" cy="11"/>
            <a:chOff x="237" y="169"/>
            <a:chExt cx="11" cy="24"/>
          </a:xfrm>
          <a:solidFill>
            <a:srgbClr val="FFFFFF"/>
          </a:solidFill>
        </xdr:grpSpPr>
        <xdr:sp>
          <xdr:nvSpPr>
            <xdr:cNvPr id="384" name="Rectangle 384"/>
            <xdr:cNvSpPr>
              <a:spLocks/>
            </xdr:cNvSpPr>
          </xdr:nvSpPr>
          <xdr:spPr>
            <a:xfrm>
              <a:off x="237" y="169"/>
              <a:ext cx="11" cy="23"/>
            </a:xfrm>
            <a:prstGeom prst="roundRect">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5" name="Oval 385"/>
            <xdr:cNvSpPr>
              <a:spLocks/>
            </xdr:cNvSpPr>
          </xdr:nvSpPr>
          <xdr:spPr>
            <a:xfrm>
              <a:off x="237" y="169"/>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6" name="Oval 386"/>
            <xdr:cNvSpPr>
              <a:spLocks/>
            </xdr:cNvSpPr>
          </xdr:nvSpPr>
          <xdr:spPr>
            <a:xfrm>
              <a:off x="237" y="182"/>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87" name="Oval 387"/>
          <xdr:cNvSpPr>
            <a:spLocks/>
          </xdr:cNvSpPr>
        </xdr:nvSpPr>
        <xdr:spPr>
          <a:xfrm>
            <a:off x="483" y="479"/>
            <a:ext cx="19" cy="20"/>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208</a:t>
            </a:r>
          </a:p>
        </xdr:txBody>
      </xdr:sp>
      <xdr:sp>
        <xdr:nvSpPr>
          <xdr:cNvPr id="388" name="Oval 388"/>
          <xdr:cNvSpPr>
            <a:spLocks/>
          </xdr:cNvSpPr>
        </xdr:nvSpPr>
        <xdr:spPr>
          <a:xfrm>
            <a:off x="463" y="470"/>
            <a:ext cx="12" cy="13"/>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Y</a:t>
            </a:r>
          </a:p>
        </xdr:txBody>
      </xdr:sp>
      <xdr:grpSp>
        <xdr:nvGrpSpPr>
          <xdr:cNvPr id="389" name="Group 389"/>
          <xdr:cNvGrpSpPr>
            <a:grpSpLocks/>
          </xdr:cNvGrpSpPr>
        </xdr:nvGrpSpPr>
        <xdr:grpSpPr>
          <a:xfrm>
            <a:off x="470" y="456"/>
            <a:ext cx="15" cy="15"/>
            <a:chOff x="694" y="88"/>
            <a:chExt cx="15" cy="15"/>
          </a:xfrm>
          <a:solidFill>
            <a:srgbClr val="FFFFFF"/>
          </a:solidFill>
        </xdr:grpSpPr>
        <xdr:sp>
          <xdr:nvSpPr>
            <xdr:cNvPr id="390" name="Oval 390"/>
            <xdr:cNvSpPr>
              <a:spLocks/>
            </xdr:cNvSpPr>
          </xdr:nvSpPr>
          <xdr:spPr>
            <a:xfrm>
              <a:off x="697" y="91"/>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391" name="Oval 391"/>
            <xdr:cNvSpPr>
              <a:spLocks/>
            </xdr:cNvSpPr>
          </xdr:nvSpPr>
          <xdr:spPr>
            <a:xfrm>
              <a:off x="694" y="88"/>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a:t>
              </a:r>
            </a:p>
          </xdr:txBody>
        </xdr:sp>
      </xdr:grpSp>
      <xdr:sp>
        <xdr:nvSpPr>
          <xdr:cNvPr id="392" name="Oval 392"/>
          <xdr:cNvSpPr>
            <a:spLocks/>
          </xdr:cNvSpPr>
        </xdr:nvSpPr>
        <xdr:spPr>
          <a:xfrm>
            <a:off x="486" y="454"/>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南</a:t>
            </a:r>
          </a:p>
        </xdr:txBody>
      </xdr:sp>
    </xdr:grpSp>
    <xdr:clientData/>
  </xdr:twoCellAnchor>
  <xdr:twoCellAnchor editAs="absolute">
    <xdr:from>
      <xdr:col>16</xdr:col>
      <xdr:colOff>180975</xdr:colOff>
      <xdr:row>2</xdr:row>
      <xdr:rowOff>142875</xdr:rowOff>
    </xdr:from>
    <xdr:to>
      <xdr:col>19</xdr:col>
      <xdr:colOff>0</xdr:colOff>
      <xdr:row>5</xdr:row>
      <xdr:rowOff>76200</xdr:rowOff>
    </xdr:to>
    <xdr:grpSp>
      <xdr:nvGrpSpPr>
        <xdr:cNvPr id="393" name="Group 393"/>
        <xdr:cNvGrpSpPr>
          <a:grpSpLocks/>
        </xdr:cNvGrpSpPr>
      </xdr:nvGrpSpPr>
      <xdr:grpSpPr>
        <a:xfrm rot="5400000">
          <a:off x="3228975" y="428625"/>
          <a:ext cx="390525" cy="447675"/>
          <a:chOff x="358" y="467"/>
          <a:chExt cx="47" cy="41"/>
        </a:xfrm>
        <a:solidFill>
          <a:srgbClr val="FFFFFF"/>
        </a:solidFill>
      </xdr:grpSpPr>
      <xdr:grpSp>
        <xdr:nvGrpSpPr>
          <xdr:cNvPr id="394" name="Group 394"/>
          <xdr:cNvGrpSpPr>
            <a:grpSpLocks/>
          </xdr:cNvGrpSpPr>
        </xdr:nvGrpSpPr>
        <xdr:grpSpPr>
          <a:xfrm rot="7200000">
            <a:off x="358" y="467"/>
            <a:ext cx="46" cy="40"/>
            <a:chOff x="633" y="283"/>
            <a:chExt cx="40" cy="46"/>
          </a:xfrm>
          <a:solidFill>
            <a:srgbClr val="FFFFFF"/>
          </a:solidFill>
        </xdr:grpSpPr>
        <xdr:sp>
          <xdr:nvSpPr>
            <xdr:cNvPr id="395" name="AutoShape 395"/>
            <xdr:cNvSpPr>
              <a:spLocks/>
            </xdr:cNvSpPr>
          </xdr:nvSpPr>
          <xdr:spPr>
            <a:xfrm rot="3640816">
              <a:off x="633" y="283"/>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6" name="Line 396"/>
            <xdr:cNvSpPr>
              <a:spLocks/>
            </xdr:cNvSpPr>
          </xdr:nvSpPr>
          <xdr:spPr>
            <a:xfrm>
              <a:off x="653" y="286"/>
              <a:ext cx="0" cy="2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7" name="Line 397"/>
            <xdr:cNvSpPr>
              <a:spLocks/>
            </xdr:cNvSpPr>
          </xdr:nvSpPr>
          <xdr:spPr>
            <a:xfrm>
              <a:off x="636" y="296"/>
              <a:ext cx="34" cy="2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8" name="Line 398"/>
            <xdr:cNvSpPr>
              <a:spLocks/>
            </xdr:cNvSpPr>
          </xdr:nvSpPr>
          <xdr:spPr>
            <a:xfrm flipV="1">
              <a:off x="636" y="295"/>
              <a:ext cx="34" cy="2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99" name="Group 399"/>
            <xdr:cNvGrpSpPr>
              <a:grpSpLocks/>
            </xdr:cNvGrpSpPr>
          </xdr:nvGrpSpPr>
          <xdr:grpSpPr>
            <a:xfrm rot="16187080">
              <a:off x="641" y="293"/>
              <a:ext cx="24" cy="22"/>
              <a:chOff x="629" y="295"/>
              <a:chExt cx="22" cy="24"/>
            </a:xfrm>
            <a:solidFill>
              <a:srgbClr val="FFFFFF"/>
            </a:solidFill>
          </xdr:grpSpPr>
          <xdr:sp>
            <xdr:nvSpPr>
              <xdr:cNvPr id="400" name="Polygon 400"/>
              <xdr:cNvSpPr>
                <a:spLocks/>
              </xdr:cNvSpPr>
            </xdr:nvSpPr>
            <xdr:spPr>
              <a:xfrm>
                <a:off x="629" y="296"/>
                <a:ext cx="19" cy="22"/>
              </a:xfrm>
              <a:custGeom>
                <a:pathLst>
                  <a:path h="23" w="20">
                    <a:moveTo>
                      <a:pt x="0" y="18"/>
                    </a:moveTo>
                    <a:lnTo>
                      <a:pt x="0" y="5"/>
                    </a:lnTo>
                    <a:lnTo>
                      <a:pt x="8" y="0"/>
                    </a:lnTo>
                    <a:lnTo>
                      <a:pt x="20" y="7"/>
                    </a:lnTo>
                    <a:lnTo>
                      <a:pt x="20" y="16"/>
                    </a:lnTo>
                    <a:lnTo>
                      <a:pt x="9" y="23"/>
                    </a:lnTo>
                    <a:lnTo>
                      <a:pt x="0" y="18"/>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1" name="Oval 401"/>
              <xdr:cNvSpPr>
                <a:spLocks/>
              </xdr:cNvSpPr>
            </xdr:nvSpPr>
            <xdr:spPr>
              <a:xfrm>
                <a:off x="640" y="301"/>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2" name="Oval 402"/>
              <xdr:cNvSpPr>
                <a:spLocks/>
              </xdr:cNvSpPr>
            </xdr:nvSpPr>
            <xdr:spPr>
              <a:xfrm>
                <a:off x="629" y="295"/>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3" name="Oval 403"/>
              <xdr:cNvSpPr>
                <a:spLocks/>
              </xdr:cNvSpPr>
            </xdr:nvSpPr>
            <xdr:spPr>
              <a:xfrm>
                <a:off x="629" y="308"/>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nvGrpSpPr>
          <xdr:cNvPr id="404" name="Group 404"/>
          <xdr:cNvGrpSpPr>
            <a:grpSpLocks/>
          </xdr:cNvGrpSpPr>
        </xdr:nvGrpSpPr>
        <xdr:grpSpPr>
          <a:xfrm rot="7200000">
            <a:off x="381" y="467"/>
            <a:ext cx="15" cy="15"/>
            <a:chOff x="711" y="103"/>
            <a:chExt cx="15" cy="15"/>
          </a:xfrm>
          <a:solidFill>
            <a:srgbClr val="FFFFFF"/>
          </a:solidFill>
        </xdr:grpSpPr>
        <xdr:sp>
          <xdr:nvSpPr>
            <xdr:cNvPr id="405" name="Oval 405"/>
            <xdr:cNvSpPr>
              <a:spLocks/>
            </xdr:cNvSpPr>
          </xdr:nvSpPr>
          <xdr:spPr>
            <a:xfrm>
              <a:off x="713" y="107"/>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406" name="Oval 406"/>
            <xdr:cNvSpPr>
              <a:spLocks/>
            </xdr:cNvSpPr>
          </xdr:nvSpPr>
          <xdr:spPr>
            <a:xfrm>
              <a:off x="711" y="103"/>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5</a:t>
              </a:r>
            </a:p>
          </xdr:txBody>
        </xdr:sp>
      </xdr:grpSp>
      <xdr:sp>
        <xdr:nvSpPr>
          <xdr:cNvPr id="407" name="Oval 407"/>
          <xdr:cNvSpPr>
            <a:spLocks/>
          </xdr:cNvSpPr>
        </xdr:nvSpPr>
        <xdr:spPr>
          <a:xfrm rot="7200000">
            <a:off x="359" y="472"/>
            <a:ext cx="18" cy="18"/>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209</a:t>
            </a:r>
          </a:p>
        </xdr:txBody>
      </xdr:sp>
      <xdr:sp>
        <xdr:nvSpPr>
          <xdr:cNvPr id="408" name="Oval 408"/>
          <xdr:cNvSpPr>
            <a:spLocks/>
          </xdr:cNvSpPr>
        </xdr:nvSpPr>
        <xdr:spPr>
          <a:xfrm rot="7200000">
            <a:off x="390" y="480"/>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B</a:t>
            </a:r>
          </a:p>
        </xdr:txBody>
      </xdr:sp>
      <xdr:sp>
        <xdr:nvSpPr>
          <xdr:cNvPr id="409" name="Oval 409"/>
          <xdr:cNvSpPr>
            <a:spLocks/>
          </xdr:cNvSpPr>
        </xdr:nvSpPr>
        <xdr:spPr>
          <a:xfrm>
            <a:off x="366" y="493"/>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京</a:t>
            </a:r>
          </a:p>
        </xdr:txBody>
      </xdr:sp>
    </xdr:grpSp>
    <xdr:clientData/>
  </xdr:twoCellAnchor>
  <xdr:twoCellAnchor editAs="absolute">
    <xdr:from>
      <xdr:col>26</xdr:col>
      <xdr:colOff>114300</xdr:colOff>
      <xdr:row>17</xdr:row>
      <xdr:rowOff>114300</xdr:rowOff>
    </xdr:from>
    <xdr:to>
      <xdr:col>28</xdr:col>
      <xdr:colOff>171450</xdr:colOff>
      <xdr:row>19</xdr:row>
      <xdr:rowOff>152400</xdr:rowOff>
    </xdr:to>
    <xdr:grpSp>
      <xdr:nvGrpSpPr>
        <xdr:cNvPr id="410" name="Group 410"/>
        <xdr:cNvGrpSpPr>
          <a:grpSpLocks/>
        </xdr:cNvGrpSpPr>
      </xdr:nvGrpSpPr>
      <xdr:grpSpPr>
        <a:xfrm rot="5400000">
          <a:off x="5067300" y="2971800"/>
          <a:ext cx="438150" cy="381000"/>
          <a:chOff x="318" y="455"/>
          <a:chExt cx="40" cy="46"/>
        </a:xfrm>
        <a:solidFill>
          <a:srgbClr val="FFFFFF"/>
        </a:solidFill>
      </xdr:grpSpPr>
      <xdr:grpSp>
        <xdr:nvGrpSpPr>
          <xdr:cNvPr id="411" name="Group 411"/>
          <xdr:cNvGrpSpPr>
            <a:grpSpLocks/>
          </xdr:cNvGrpSpPr>
        </xdr:nvGrpSpPr>
        <xdr:grpSpPr>
          <a:xfrm>
            <a:off x="318" y="455"/>
            <a:ext cx="40" cy="46"/>
            <a:chOff x="625" y="253"/>
            <a:chExt cx="40" cy="46"/>
          </a:xfrm>
          <a:solidFill>
            <a:srgbClr val="FFFFFF"/>
          </a:solidFill>
        </xdr:grpSpPr>
        <xdr:sp>
          <xdr:nvSpPr>
            <xdr:cNvPr id="412" name="AutoShape 412"/>
            <xdr:cNvSpPr>
              <a:spLocks/>
            </xdr:cNvSpPr>
          </xdr:nvSpPr>
          <xdr:spPr>
            <a:xfrm rot="17959183" flipH="1">
              <a:off x="625" y="253"/>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3" name="Line 413"/>
            <xdr:cNvSpPr>
              <a:spLocks/>
            </xdr:cNvSpPr>
          </xdr:nvSpPr>
          <xdr:spPr>
            <a:xfrm>
              <a:off x="645" y="256"/>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4" name="Line 414"/>
            <xdr:cNvSpPr>
              <a:spLocks/>
            </xdr:cNvSpPr>
          </xdr:nvSpPr>
          <xdr:spPr>
            <a:xfrm flipH="1">
              <a:off x="627" y="275"/>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15" name="Group 415"/>
            <xdr:cNvGrpSpPr>
              <a:grpSpLocks/>
            </xdr:cNvGrpSpPr>
          </xdr:nvGrpSpPr>
          <xdr:grpSpPr>
            <a:xfrm rot="21567797">
              <a:off x="640" y="264"/>
              <a:ext cx="11" cy="24"/>
              <a:chOff x="237" y="169"/>
              <a:chExt cx="11" cy="24"/>
            </a:xfrm>
            <a:solidFill>
              <a:srgbClr val="FFFFFF"/>
            </a:solidFill>
          </xdr:grpSpPr>
          <xdr:sp>
            <xdr:nvSpPr>
              <xdr:cNvPr id="416" name="Rectangle 416"/>
              <xdr:cNvSpPr>
                <a:spLocks/>
              </xdr:cNvSpPr>
            </xdr:nvSpPr>
            <xdr:spPr>
              <a:xfrm>
                <a:off x="237" y="169"/>
                <a:ext cx="11" cy="23"/>
              </a:xfrm>
              <a:prstGeom prst="roundRect">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7" name="Oval 417"/>
              <xdr:cNvSpPr>
                <a:spLocks/>
              </xdr:cNvSpPr>
            </xdr:nvSpPr>
            <xdr:spPr>
              <a:xfrm>
                <a:off x="237" y="169"/>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8" name="Oval 418"/>
              <xdr:cNvSpPr>
                <a:spLocks/>
              </xdr:cNvSpPr>
            </xdr:nvSpPr>
            <xdr:spPr>
              <a:xfrm>
                <a:off x="237" y="182"/>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419" name="Oval 419"/>
          <xdr:cNvSpPr>
            <a:spLocks/>
          </xdr:cNvSpPr>
        </xdr:nvSpPr>
        <xdr:spPr>
          <a:xfrm>
            <a:off x="342" y="462"/>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72</a:t>
            </a:r>
          </a:p>
        </xdr:txBody>
      </xdr:sp>
      <xdr:grpSp>
        <xdr:nvGrpSpPr>
          <xdr:cNvPr id="420" name="Group 420"/>
          <xdr:cNvGrpSpPr>
            <a:grpSpLocks/>
          </xdr:cNvGrpSpPr>
        </xdr:nvGrpSpPr>
        <xdr:grpSpPr>
          <a:xfrm>
            <a:off x="318" y="466"/>
            <a:ext cx="15" cy="15"/>
            <a:chOff x="711" y="103"/>
            <a:chExt cx="15" cy="15"/>
          </a:xfrm>
          <a:solidFill>
            <a:srgbClr val="FFFFFF"/>
          </a:solidFill>
        </xdr:grpSpPr>
        <xdr:sp>
          <xdr:nvSpPr>
            <xdr:cNvPr id="421" name="Oval 421"/>
            <xdr:cNvSpPr>
              <a:spLocks/>
            </xdr:cNvSpPr>
          </xdr:nvSpPr>
          <xdr:spPr>
            <a:xfrm>
              <a:off x="713" y="107"/>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422" name="Oval 422"/>
            <xdr:cNvSpPr>
              <a:spLocks/>
            </xdr:cNvSpPr>
          </xdr:nvSpPr>
          <xdr:spPr>
            <a:xfrm>
              <a:off x="711" y="103"/>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5</a:t>
              </a:r>
            </a:p>
          </xdr:txBody>
        </xdr:sp>
      </xdr:grpSp>
      <xdr:sp>
        <xdr:nvSpPr>
          <xdr:cNvPr id="423" name="Oval 423"/>
          <xdr:cNvSpPr>
            <a:spLocks/>
          </xdr:cNvSpPr>
        </xdr:nvSpPr>
        <xdr:spPr>
          <a:xfrm>
            <a:off x="342" y="477"/>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神</a:t>
            </a:r>
          </a:p>
        </xdr:txBody>
      </xdr:sp>
    </xdr:grpSp>
    <xdr:clientData/>
  </xdr:twoCellAnchor>
  <xdr:twoCellAnchor editAs="absolute">
    <xdr:from>
      <xdr:col>32</xdr:col>
      <xdr:colOff>0</xdr:colOff>
      <xdr:row>21</xdr:row>
      <xdr:rowOff>28575</xdr:rowOff>
    </xdr:from>
    <xdr:to>
      <xdr:col>34</xdr:col>
      <xdr:colOff>57150</xdr:colOff>
      <xdr:row>23</xdr:row>
      <xdr:rowOff>95250</xdr:rowOff>
    </xdr:to>
    <xdr:grpSp>
      <xdr:nvGrpSpPr>
        <xdr:cNvPr id="424" name="Group 424"/>
        <xdr:cNvGrpSpPr>
          <a:grpSpLocks/>
        </xdr:cNvGrpSpPr>
      </xdr:nvGrpSpPr>
      <xdr:grpSpPr>
        <a:xfrm rot="5400000">
          <a:off x="6096000" y="3571875"/>
          <a:ext cx="438150" cy="409575"/>
          <a:chOff x="412" y="519"/>
          <a:chExt cx="43" cy="46"/>
        </a:xfrm>
        <a:solidFill>
          <a:srgbClr val="FFFFFF"/>
        </a:solidFill>
      </xdr:grpSpPr>
      <xdr:grpSp>
        <xdr:nvGrpSpPr>
          <xdr:cNvPr id="425" name="Group 425"/>
          <xdr:cNvGrpSpPr>
            <a:grpSpLocks/>
          </xdr:cNvGrpSpPr>
        </xdr:nvGrpSpPr>
        <xdr:grpSpPr>
          <a:xfrm>
            <a:off x="415" y="519"/>
            <a:ext cx="40" cy="46"/>
            <a:chOff x="611" y="286"/>
            <a:chExt cx="40" cy="46"/>
          </a:xfrm>
          <a:solidFill>
            <a:srgbClr val="FFFFFF"/>
          </a:solidFill>
        </xdr:grpSpPr>
        <xdr:sp>
          <xdr:nvSpPr>
            <xdr:cNvPr id="426" name="AutoShape 426"/>
            <xdr:cNvSpPr>
              <a:spLocks/>
            </xdr:cNvSpPr>
          </xdr:nvSpPr>
          <xdr:spPr>
            <a:xfrm rot="3640816">
              <a:off x="611" y="286"/>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7" name="Line 427"/>
            <xdr:cNvSpPr>
              <a:spLocks/>
            </xdr:cNvSpPr>
          </xdr:nvSpPr>
          <xdr:spPr>
            <a:xfrm>
              <a:off x="631" y="289"/>
              <a:ext cx="0" cy="2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8" name="Line 428"/>
            <xdr:cNvSpPr>
              <a:spLocks/>
            </xdr:cNvSpPr>
          </xdr:nvSpPr>
          <xdr:spPr>
            <a:xfrm>
              <a:off x="614" y="299"/>
              <a:ext cx="34" cy="2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9" name="Line 429"/>
            <xdr:cNvSpPr>
              <a:spLocks/>
            </xdr:cNvSpPr>
          </xdr:nvSpPr>
          <xdr:spPr>
            <a:xfrm flipV="1">
              <a:off x="614" y="308"/>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30" name="Group 430"/>
            <xdr:cNvGrpSpPr>
              <a:grpSpLocks/>
            </xdr:cNvGrpSpPr>
          </xdr:nvGrpSpPr>
          <xdr:grpSpPr>
            <a:xfrm rot="16187080">
              <a:off x="619" y="296"/>
              <a:ext cx="24" cy="22"/>
              <a:chOff x="629" y="295"/>
              <a:chExt cx="22" cy="24"/>
            </a:xfrm>
            <a:solidFill>
              <a:srgbClr val="FFFFFF"/>
            </a:solidFill>
          </xdr:grpSpPr>
          <xdr:sp>
            <xdr:nvSpPr>
              <xdr:cNvPr id="431" name="Polygon 431"/>
              <xdr:cNvSpPr>
                <a:spLocks/>
              </xdr:cNvSpPr>
            </xdr:nvSpPr>
            <xdr:spPr>
              <a:xfrm>
                <a:off x="629" y="296"/>
                <a:ext cx="19" cy="22"/>
              </a:xfrm>
              <a:custGeom>
                <a:pathLst>
                  <a:path h="23" w="20">
                    <a:moveTo>
                      <a:pt x="0" y="18"/>
                    </a:moveTo>
                    <a:lnTo>
                      <a:pt x="0" y="5"/>
                    </a:lnTo>
                    <a:lnTo>
                      <a:pt x="8" y="0"/>
                    </a:lnTo>
                    <a:lnTo>
                      <a:pt x="20" y="7"/>
                    </a:lnTo>
                    <a:lnTo>
                      <a:pt x="20" y="16"/>
                    </a:lnTo>
                    <a:lnTo>
                      <a:pt x="9" y="23"/>
                    </a:lnTo>
                    <a:lnTo>
                      <a:pt x="0" y="18"/>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2" name="Oval 432"/>
              <xdr:cNvSpPr>
                <a:spLocks/>
              </xdr:cNvSpPr>
            </xdr:nvSpPr>
            <xdr:spPr>
              <a:xfrm>
                <a:off x="640" y="301"/>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3" name="Oval 433"/>
              <xdr:cNvSpPr>
                <a:spLocks/>
              </xdr:cNvSpPr>
            </xdr:nvSpPr>
            <xdr:spPr>
              <a:xfrm>
                <a:off x="629" y="295"/>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4" name="Oval 434"/>
              <xdr:cNvSpPr>
                <a:spLocks/>
              </xdr:cNvSpPr>
            </xdr:nvSpPr>
            <xdr:spPr>
              <a:xfrm>
                <a:off x="629" y="308"/>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nvGrpSpPr>
          <xdr:cNvPr id="435" name="Group 435"/>
          <xdr:cNvGrpSpPr>
            <a:grpSpLocks/>
          </xdr:cNvGrpSpPr>
        </xdr:nvGrpSpPr>
        <xdr:grpSpPr>
          <a:xfrm>
            <a:off x="412" y="533"/>
            <a:ext cx="15" cy="15"/>
            <a:chOff x="711" y="103"/>
            <a:chExt cx="15" cy="15"/>
          </a:xfrm>
          <a:solidFill>
            <a:srgbClr val="FFFFFF"/>
          </a:solidFill>
        </xdr:grpSpPr>
        <xdr:sp>
          <xdr:nvSpPr>
            <xdr:cNvPr id="436" name="Oval 436"/>
            <xdr:cNvSpPr>
              <a:spLocks/>
            </xdr:cNvSpPr>
          </xdr:nvSpPr>
          <xdr:spPr>
            <a:xfrm>
              <a:off x="713" y="107"/>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437" name="Oval 437"/>
            <xdr:cNvSpPr>
              <a:spLocks/>
            </xdr:cNvSpPr>
          </xdr:nvSpPr>
          <xdr:spPr>
            <a:xfrm>
              <a:off x="711" y="103"/>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5</a:t>
              </a:r>
            </a:p>
          </xdr:txBody>
        </xdr:sp>
      </xdr:grpSp>
      <xdr:sp>
        <xdr:nvSpPr>
          <xdr:cNvPr id="438" name="Oval 438"/>
          <xdr:cNvSpPr>
            <a:spLocks/>
          </xdr:cNvSpPr>
        </xdr:nvSpPr>
        <xdr:spPr>
          <a:xfrm>
            <a:off x="419" y="519"/>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東</a:t>
            </a:r>
          </a:p>
        </xdr:txBody>
      </xdr:sp>
      <xdr:sp>
        <xdr:nvSpPr>
          <xdr:cNvPr id="439" name="Oval 439"/>
          <xdr:cNvSpPr>
            <a:spLocks/>
          </xdr:cNvSpPr>
        </xdr:nvSpPr>
        <xdr:spPr>
          <a:xfrm>
            <a:off x="433" y="548"/>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特</a:t>
            </a:r>
          </a:p>
        </xdr:txBody>
      </xdr:sp>
    </xdr:grpSp>
    <xdr:clientData/>
  </xdr:twoCellAnchor>
  <xdr:twoCellAnchor editAs="absolute">
    <xdr:from>
      <xdr:col>39</xdr:col>
      <xdr:colOff>123825</xdr:colOff>
      <xdr:row>33</xdr:row>
      <xdr:rowOff>57150</xdr:rowOff>
    </xdr:from>
    <xdr:to>
      <xdr:col>42</xdr:col>
      <xdr:colOff>38100</xdr:colOff>
      <xdr:row>36</xdr:row>
      <xdr:rowOff>0</xdr:rowOff>
    </xdr:to>
    <xdr:grpSp>
      <xdr:nvGrpSpPr>
        <xdr:cNvPr id="440" name="Group 440"/>
        <xdr:cNvGrpSpPr>
          <a:grpSpLocks/>
        </xdr:cNvGrpSpPr>
      </xdr:nvGrpSpPr>
      <xdr:grpSpPr>
        <a:xfrm>
          <a:off x="7553325" y="5638800"/>
          <a:ext cx="485775" cy="438150"/>
          <a:chOff x="507" y="450"/>
          <a:chExt cx="51" cy="46"/>
        </a:xfrm>
        <a:solidFill>
          <a:srgbClr val="FFFFFF"/>
        </a:solidFill>
      </xdr:grpSpPr>
      <xdr:sp>
        <xdr:nvSpPr>
          <xdr:cNvPr id="441" name="AutoShape 441"/>
          <xdr:cNvSpPr>
            <a:spLocks/>
          </xdr:cNvSpPr>
        </xdr:nvSpPr>
        <xdr:spPr>
          <a:xfrm rot="21614661">
            <a:off x="507" y="450"/>
            <a:ext cx="46" cy="40"/>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2" name="Arc 442"/>
          <xdr:cNvSpPr>
            <a:spLocks/>
          </xdr:cNvSpPr>
        </xdr:nvSpPr>
        <xdr:spPr>
          <a:xfrm rot="19306582">
            <a:off x="511" y="477"/>
            <a:ext cx="17" cy="19"/>
          </a:xfrm>
          <a:prstGeom prst="arc">
            <a:avLst>
              <a:gd name="adj1" fmla="val -20069518"/>
              <a:gd name="adj2" fmla="val 10323888"/>
              <a:gd name="adj3" fmla="val 41342"/>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3" name="Line 443"/>
          <xdr:cNvSpPr>
            <a:spLocks/>
          </xdr:cNvSpPr>
        </xdr:nvSpPr>
        <xdr:spPr>
          <a:xfrm rot="19715690">
            <a:off x="509" y="469"/>
            <a:ext cx="41"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4" name="Arc 444"/>
          <xdr:cNvSpPr>
            <a:spLocks/>
          </xdr:cNvSpPr>
        </xdr:nvSpPr>
        <xdr:spPr>
          <a:xfrm rot="14533253">
            <a:off x="526" y="464"/>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5" name="Oval 445"/>
          <xdr:cNvSpPr>
            <a:spLocks/>
          </xdr:cNvSpPr>
        </xdr:nvSpPr>
        <xdr:spPr>
          <a:xfrm>
            <a:off x="508" y="459"/>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42</a:t>
            </a:r>
          </a:p>
        </xdr:txBody>
      </xdr:sp>
    </xdr:grpSp>
    <xdr:clientData/>
  </xdr:twoCellAnchor>
  <xdr:twoCellAnchor editAs="absolute">
    <xdr:from>
      <xdr:col>43</xdr:col>
      <xdr:colOff>171450</xdr:colOff>
      <xdr:row>33</xdr:row>
      <xdr:rowOff>142875</xdr:rowOff>
    </xdr:from>
    <xdr:to>
      <xdr:col>46</xdr:col>
      <xdr:colOff>85725</xdr:colOff>
      <xdr:row>36</xdr:row>
      <xdr:rowOff>85725</xdr:rowOff>
    </xdr:to>
    <xdr:grpSp>
      <xdr:nvGrpSpPr>
        <xdr:cNvPr id="446" name="Group 446"/>
        <xdr:cNvGrpSpPr>
          <a:grpSpLocks/>
        </xdr:cNvGrpSpPr>
      </xdr:nvGrpSpPr>
      <xdr:grpSpPr>
        <a:xfrm>
          <a:off x="8362950" y="5724525"/>
          <a:ext cx="485775" cy="438150"/>
          <a:chOff x="504" y="458"/>
          <a:chExt cx="51" cy="46"/>
        </a:xfrm>
        <a:solidFill>
          <a:srgbClr val="FFFFFF"/>
        </a:solidFill>
      </xdr:grpSpPr>
      <xdr:sp>
        <xdr:nvSpPr>
          <xdr:cNvPr id="447" name="AutoShape 447"/>
          <xdr:cNvSpPr>
            <a:spLocks/>
          </xdr:cNvSpPr>
        </xdr:nvSpPr>
        <xdr:spPr>
          <a:xfrm rot="-14661" flipH="1">
            <a:off x="509" y="458"/>
            <a:ext cx="46" cy="40"/>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8" name="Arc 448"/>
          <xdr:cNvSpPr>
            <a:spLocks/>
          </xdr:cNvSpPr>
        </xdr:nvSpPr>
        <xdr:spPr>
          <a:xfrm rot="2293417" flipH="1">
            <a:off x="534" y="485"/>
            <a:ext cx="17" cy="19"/>
          </a:xfrm>
          <a:prstGeom prst="arc">
            <a:avLst>
              <a:gd name="adj1" fmla="val -20069518"/>
              <a:gd name="adj2" fmla="val 10323888"/>
              <a:gd name="adj3" fmla="val 41342"/>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9" name="Line 449"/>
          <xdr:cNvSpPr>
            <a:spLocks/>
          </xdr:cNvSpPr>
        </xdr:nvSpPr>
        <xdr:spPr>
          <a:xfrm rot="1884309" flipH="1">
            <a:off x="512" y="477"/>
            <a:ext cx="41"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0" name="Arc 450"/>
          <xdr:cNvSpPr>
            <a:spLocks/>
          </xdr:cNvSpPr>
        </xdr:nvSpPr>
        <xdr:spPr>
          <a:xfrm rot="7066746" flipH="1">
            <a:off x="504" y="472"/>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1" name="Oval 451"/>
          <xdr:cNvSpPr>
            <a:spLocks/>
          </xdr:cNvSpPr>
        </xdr:nvSpPr>
        <xdr:spPr>
          <a:xfrm>
            <a:off x="539" y="467"/>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41</a:t>
            </a:r>
          </a:p>
        </xdr:txBody>
      </xdr:sp>
    </xdr:grpSp>
    <xdr:clientData/>
  </xdr:twoCellAnchor>
  <xdr:twoCellAnchor editAs="absolute">
    <xdr:from>
      <xdr:col>31</xdr:col>
      <xdr:colOff>76200</xdr:colOff>
      <xdr:row>33</xdr:row>
      <xdr:rowOff>47625</xdr:rowOff>
    </xdr:from>
    <xdr:to>
      <xdr:col>33</xdr:col>
      <xdr:colOff>180975</xdr:colOff>
      <xdr:row>35</xdr:row>
      <xdr:rowOff>152400</xdr:rowOff>
    </xdr:to>
    <xdr:grpSp>
      <xdr:nvGrpSpPr>
        <xdr:cNvPr id="452" name="Group 452"/>
        <xdr:cNvGrpSpPr>
          <a:grpSpLocks/>
        </xdr:cNvGrpSpPr>
      </xdr:nvGrpSpPr>
      <xdr:grpSpPr>
        <a:xfrm>
          <a:off x="5981700" y="5629275"/>
          <a:ext cx="485775" cy="438150"/>
          <a:chOff x="504" y="458"/>
          <a:chExt cx="51" cy="46"/>
        </a:xfrm>
        <a:solidFill>
          <a:srgbClr val="FFFFFF"/>
        </a:solidFill>
      </xdr:grpSpPr>
      <xdr:sp>
        <xdr:nvSpPr>
          <xdr:cNvPr id="453" name="AutoShape 453"/>
          <xdr:cNvSpPr>
            <a:spLocks/>
          </xdr:cNvSpPr>
        </xdr:nvSpPr>
        <xdr:spPr>
          <a:xfrm rot="-14661" flipH="1">
            <a:off x="509" y="458"/>
            <a:ext cx="46" cy="40"/>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4" name="Arc 454"/>
          <xdr:cNvSpPr>
            <a:spLocks/>
          </xdr:cNvSpPr>
        </xdr:nvSpPr>
        <xdr:spPr>
          <a:xfrm rot="2293417" flipH="1">
            <a:off x="534" y="485"/>
            <a:ext cx="17" cy="19"/>
          </a:xfrm>
          <a:prstGeom prst="arc">
            <a:avLst>
              <a:gd name="adj1" fmla="val -20069518"/>
              <a:gd name="adj2" fmla="val 10323888"/>
              <a:gd name="adj3" fmla="val 41342"/>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5" name="Line 455"/>
          <xdr:cNvSpPr>
            <a:spLocks/>
          </xdr:cNvSpPr>
        </xdr:nvSpPr>
        <xdr:spPr>
          <a:xfrm rot="1884309" flipH="1">
            <a:off x="512" y="477"/>
            <a:ext cx="41"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6" name="Arc 456"/>
          <xdr:cNvSpPr>
            <a:spLocks/>
          </xdr:cNvSpPr>
        </xdr:nvSpPr>
        <xdr:spPr>
          <a:xfrm rot="7066746" flipH="1">
            <a:off x="504" y="472"/>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7" name="Oval 457"/>
          <xdr:cNvSpPr>
            <a:spLocks/>
          </xdr:cNvSpPr>
        </xdr:nvSpPr>
        <xdr:spPr>
          <a:xfrm>
            <a:off x="539" y="467"/>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41</a:t>
            </a:r>
          </a:p>
        </xdr:txBody>
      </xdr:sp>
    </xdr:grpSp>
    <xdr:clientData/>
  </xdr:twoCellAnchor>
  <xdr:twoCellAnchor editAs="absolute">
    <xdr:from>
      <xdr:col>37</xdr:col>
      <xdr:colOff>104775</xdr:colOff>
      <xdr:row>29</xdr:row>
      <xdr:rowOff>152400</xdr:rowOff>
    </xdr:from>
    <xdr:to>
      <xdr:col>40</xdr:col>
      <xdr:colOff>19050</xdr:colOff>
      <xdr:row>32</xdr:row>
      <xdr:rowOff>95250</xdr:rowOff>
    </xdr:to>
    <xdr:grpSp>
      <xdr:nvGrpSpPr>
        <xdr:cNvPr id="458" name="Group 458"/>
        <xdr:cNvGrpSpPr>
          <a:grpSpLocks/>
        </xdr:cNvGrpSpPr>
      </xdr:nvGrpSpPr>
      <xdr:grpSpPr>
        <a:xfrm>
          <a:off x="7153275" y="5067300"/>
          <a:ext cx="485775" cy="438150"/>
          <a:chOff x="507" y="450"/>
          <a:chExt cx="51" cy="46"/>
        </a:xfrm>
        <a:solidFill>
          <a:srgbClr val="FFFFFF"/>
        </a:solidFill>
      </xdr:grpSpPr>
      <xdr:sp>
        <xdr:nvSpPr>
          <xdr:cNvPr id="459" name="AutoShape 459"/>
          <xdr:cNvSpPr>
            <a:spLocks/>
          </xdr:cNvSpPr>
        </xdr:nvSpPr>
        <xdr:spPr>
          <a:xfrm rot="21614661">
            <a:off x="507" y="450"/>
            <a:ext cx="46" cy="40"/>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0" name="Arc 460"/>
          <xdr:cNvSpPr>
            <a:spLocks/>
          </xdr:cNvSpPr>
        </xdr:nvSpPr>
        <xdr:spPr>
          <a:xfrm rot="19306582">
            <a:off x="511" y="477"/>
            <a:ext cx="17" cy="19"/>
          </a:xfrm>
          <a:prstGeom prst="arc">
            <a:avLst>
              <a:gd name="adj1" fmla="val -20069518"/>
              <a:gd name="adj2" fmla="val 10323888"/>
              <a:gd name="adj3" fmla="val 41342"/>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1" name="Line 461"/>
          <xdr:cNvSpPr>
            <a:spLocks/>
          </xdr:cNvSpPr>
        </xdr:nvSpPr>
        <xdr:spPr>
          <a:xfrm rot="19715690">
            <a:off x="509" y="469"/>
            <a:ext cx="41"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2" name="Arc 462"/>
          <xdr:cNvSpPr>
            <a:spLocks/>
          </xdr:cNvSpPr>
        </xdr:nvSpPr>
        <xdr:spPr>
          <a:xfrm rot="14533253">
            <a:off x="526" y="464"/>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3" name="Oval 463"/>
          <xdr:cNvSpPr>
            <a:spLocks/>
          </xdr:cNvSpPr>
        </xdr:nvSpPr>
        <xdr:spPr>
          <a:xfrm>
            <a:off x="508" y="459"/>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42</a:t>
            </a:r>
          </a:p>
        </xdr:txBody>
      </xdr:sp>
    </xdr:grpSp>
    <xdr:clientData/>
  </xdr:twoCellAnchor>
  <xdr:twoCellAnchor editAs="absolute">
    <xdr:from>
      <xdr:col>36</xdr:col>
      <xdr:colOff>161925</xdr:colOff>
      <xdr:row>33</xdr:row>
      <xdr:rowOff>19050</xdr:rowOff>
    </xdr:from>
    <xdr:to>
      <xdr:col>39</xdr:col>
      <xdr:colOff>28575</xdr:colOff>
      <xdr:row>36</xdr:row>
      <xdr:rowOff>133350</xdr:rowOff>
    </xdr:to>
    <xdr:grpSp>
      <xdr:nvGrpSpPr>
        <xdr:cNvPr id="464" name="Group 464"/>
        <xdr:cNvGrpSpPr>
          <a:grpSpLocks/>
        </xdr:cNvGrpSpPr>
      </xdr:nvGrpSpPr>
      <xdr:grpSpPr>
        <a:xfrm>
          <a:off x="7019925" y="5600700"/>
          <a:ext cx="438150" cy="609600"/>
          <a:chOff x="605" y="502"/>
          <a:chExt cx="46" cy="64"/>
        </a:xfrm>
        <a:solidFill>
          <a:srgbClr val="FFFFFF"/>
        </a:solidFill>
      </xdr:grpSpPr>
      <xdr:sp>
        <xdr:nvSpPr>
          <xdr:cNvPr id="465" name="AutoShape 465"/>
          <xdr:cNvSpPr>
            <a:spLocks/>
          </xdr:cNvSpPr>
        </xdr:nvSpPr>
        <xdr:spPr>
          <a:xfrm rot="21614661">
            <a:off x="605" y="514"/>
            <a:ext cx="46" cy="40"/>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6" name="Arc 466"/>
          <xdr:cNvSpPr>
            <a:spLocks/>
          </xdr:cNvSpPr>
        </xdr:nvSpPr>
        <xdr:spPr>
          <a:xfrm rot="3391776" flipV="1">
            <a:off x="609" y="502"/>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7" name="Arc 467"/>
          <xdr:cNvSpPr>
            <a:spLocks/>
          </xdr:cNvSpPr>
        </xdr:nvSpPr>
        <xdr:spPr>
          <a:xfrm rot="18208223">
            <a:off x="609" y="534"/>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8" name="Line 468"/>
          <xdr:cNvSpPr>
            <a:spLocks/>
          </xdr:cNvSpPr>
        </xdr:nvSpPr>
        <xdr:spPr>
          <a:xfrm rot="19715690">
            <a:off x="608" y="533"/>
            <a:ext cx="39" cy="2"/>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9" name="Line 469"/>
          <xdr:cNvSpPr>
            <a:spLocks/>
          </xdr:cNvSpPr>
        </xdr:nvSpPr>
        <xdr:spPr>
          <a:xfrm>
            <a:off x="610" y="524"/>
            <a:ext cx="35" cy="2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0" name="Oval 470"/>
          <xdr:cNvSpPr>
            <a:spLocks/>
          </xdr:cNvSpPr>
        </xdr:nvSpPr>
        <xdr:spPr>
          <a:xfrm>
            <a:off x="635" y="526"/>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47</a:t>
            </a:r>
          </a:p>
        </xdr:txBody>
      </xdr:sp>
    </xdr:grpSp>
    <xdr:clientData/>
  </xdr:twoCellAnchor>
  <xdr:twoCellAnchor editAs="absolute">
    <xdr:from>
      <xdr:col>41</xdr:col>
      <xdr:colOff>38100</xdr:colOff>
      <xdr:row>33</xdr:row>
      <xdr:rowOff>114300</xdr:rowOff>
    </xdr:from>
    <xdr:to>
      <xdr:col>43</xdr:col>
      <xdr:colOff>180975</xdr:colOff>
      <xdr:row>36</xdr:row>
      <xdr:rowOff>0</xdr:rowOff>
    </xdr:to>
    <xdr:grpSp>
      <xdr:nvGrpSpPr>
        <xdr:cNvPr id="471" name="Group 471"/>
        <xdr:cNvGrpSpPr>
          <a:grpSpLocks/>
        </xdr:cNvGrpSpPr>
      </xdr:nvGrpSpPr>
      <xdr:grpSpPr>
        <a:xfrm>
          <a:off x="7848600" y="5695950"/>
          <a:ext cx="523875" cy="381000"/>
          <a:chOff x="622" y="534"/>
          <a:chExt cx="55" cy="40"/>
        </a:xfrm>
        <a:solidFill>
          <a:srgbClr val="FFFFFF"/>
        </a:solidFill>
      </xdr:grpSpPr>
      <xdr:sp>
        <xdr:nvSpPr>
          <xdr:cNvPr id="472" name="AutoShape 472"/>
          <xdr:cNvSpPr>
            <a:spLocks/>
          </xdr:cNvSpPr>
        </xdr:nvSpPr>
        <xdr:spPr>
          <a:xfrm>
            <a:off x="627" y="534"/>
            <a:ext cx="46" cy="40"/>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3" name="Arc 473"/>
          <xdr:cNvSpPr>
            <a:spLocks/>
          </xdr:cNvSpPr>
        </xdr:nvSpPr>
        <xdr:spPr>
          <a:xfrm rot="11955967">
            <a:off x="660" y="545"/>
            <a:ext cx="17" cy="19"/>
          </a:xfrm>
          <a:prstGeom prst="arc">
            <a:avLst>
              <a:gd name="adj1" fmla="val -20069518"/>
              <a:gd name="adj2" fmla="val 10323888"/>
              <a:gd name="adj3" fmla="val 41342"/>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4" name="Rectangle 474"/>
          <xdr:cNvSpPr>
            <a:spLocks/>
          </xdr:cNvSpPr>
        </xdr:nvSpPr>
        <xdr:spPr>
          <a:xfrm rot="1753475">
            <a:off x="648" y="553"/>
            <a:ext cx="10" cy="7"/>
          </a:xfrm>
          <a:prstGeom prst="rect">
            <a:avLst/>
          </a:prstGeom>
          <a:solidFill>
            <a:srgbClr val="FF66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5" name="Line 475"/>
          <xdr:cNvSpPr>
            <a:spLocks/>
          </xdr:cNvSpPr>
        </xdr:nvSpPr>
        <xdr:spPr>
          <a:xfrm>
            <a:off x="633" y="544"/>
            <a:ext cx="34" cy="2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6" name="Line 476"/>
          <xdr:cNvSpPr>
            <a:spLocks/>
          </xdr:cNvSpPr>
        </xdr:nvSpPr>
        <xdr:spPr>
          <a:xfrm rot="19715690">
            <a:off x="629" y="553"/>
            <a:ext cx="41" cy="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7" name="Arc 477"/>
          <xdr:cNvSpPr>
            <a:spLocks/>
          </xdr:cNvSpPr>
        </xdr:nvSpPr>
        <xdr:spPr>
          <a:xfrm rot="9644032" flipH="1">
            <a:off x="622" y="545"/>
            <a:ext cx="17" cy="19"/>
          </a:xfrm>
          <a:prstGeom prst="arc">
            <a:avLst>
              <a:gd name="adj1" fmla="val -20069518"/>
              <a:gd name="adj2" fmla="val 10323888"/>
              <a:gd name="adj3" fmla="val 41342"/>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8" name="Oval 478"/>
          <xdr:cNvSpPr>
            <a:spLocks/>
          </xdr:cNvSpPr>
        </xdr:nvSpPr>
        <xdr:spPr>
          <a:xfrm>
            <a:off x="647" y="559"/>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44</a:t>
            </a:r>
          </a:p>
        </xdr:txBody>
      </xdr:sp>
    </xdr:grpSp>
    <xdr:clientData/>
  </xdr:twoCellAnchor>
  <xdr:twoCellAnchor editAs="absolute">
    <xdr:from>
      <xdr:col>34</xdr:col>
      <xdr:colOff>171450</xdr:colOff>
      <xdr:row>30</xdr:row>
      <xdr:rowOff>19050</xdr:rowOff>
    </xdr:from>
    <xdr:to>
      <xdr:col>37</xdr:col>
      <xdr:colOff>76200</xdr:colOff>
      <xdr:row>32</xdr:row>
      <xdr:rowOff>161925</xdr:rowOff>
    </xdr:to>
    <xdr:grpSp>
      <xdr:nvGrpSpPr>
        <xdr:cNvPr id="479" name="Group 479"/>
        <xdr:cNvGrpSpPr>
          <a:grpSpLocks/>
        </xdr:cNvGrpSpPr>
      </xdr:nvGrpSpPr>
      <xdr:grpSpPr>
        <a:xfrm>
          <a:off x="6648450" y="5095875"/>
          <a:ext cx="476250" cy="476250"/>
          <a:chOff x="562" y="557"/>
          <a:chExt cx="50" cy="50"/>
        </a:xfrm>
        <a:solidFill>
          <a:srgbClr val="FFFFFF"/>
        </a:solidFill>
      </xdr:grpSpPr>
      <xdr:sp>
        <xdr:nvSpPr>
          <xdr:cNvPr id="480" name="AutoShape 480"/>
          <xdr:cNvSpPr>
            <a:spLocks/>
          </xdr:cNvSpPr>
        </xdr:nvSpPr>
        <xdr:spPr>
          <a:xfrm>
            <a:off x="566" y="557"/>
            <a:ext cx="46" cy="40"/>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1" name="Rectangle 481"/>
          <xdr:cNvSpPr>
            <a:spLocks/>
          </xdr:cNvSpPr>
        </xdr:nvSpPr>
        <xdr:spPr>
          <a:xfrm rot="1753475">
            <a:off x="587" y="576"/>
            <a:ext cx="10" cy="7"/>
          </a:xfrm>
          <a:prstGeom prst="rect">
            <a:avLst/>
          </a:prstGeom>
          <a:solidFill>
            <a:srgbClr val="FF66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2" name="Line 482"/>
          <xdr:cNvSpPr>
            <a:spLocks/>
          </xdr:cNvSpPr>
        </xdr:nvSpPr>
        <xdr:spPr>
          <a:xfrm>
            <a:off x="572" y="567"/>
            <a:ext cx="34" cy="2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3" name="Arc 483"/>
          <xdr:cNvSpPr>
            <a:spLocks/>
          </xdr:cNvSpPr>
        </xdr:nvSpPr>
        <xdr:spPr>
          <a:xfrm rot="18208223">
            <a:off x="571" y="577"/>
            <a:ext cx="31" cy="30"/>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4" name="Arc 484"/>
          <xdr:cNvSpPr>
            <a:spLocks/>
          </xdr:cNvSpPr>
        </xdr:nvSpPr>
        <xdr:spPr>
          <a:xfrm rot="7066746" flipH="1">
            <a:off x="562" y="572"/>
            <a:ext cx="31" cy="30"/>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5" name="Arc 485"/>
          <xdr:cNvSpPr>
            <a:spLocks/>
          </xdr:cNvSpPr>
        </xdr:nvSpPr>
        <xdr:spPr>
          <a:xfrm rot="19306582">
            <a:off x="576" y="583"/>
            <a:ext cx="10" cy="18"/>
          </a:xfrm>
          <a:prstGeom prst="arc">
            <a:avLst>
              <a:gd name="adj1" fmla="val -26116222"/>
              <a:gd name="adj2" fmla="val 9902115"/>
              <a:gd name="adj3" fmla="val 4974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6" name="Oval 486"/>
          <xdr:cNvSpPr>
            <a:spLocks/>
          </xdr:cNvSpPr>
        </xdr:nvSpPr>
        <xdr:spPr>
          <a:xfrm>
            <a:off x="594" y="566"/>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43</a:t>
            </a:r>
          </a:p>
        </xdr:txBody>
      </xdr:sp>
    </xdr:grpSp>
    <xdr:clientData/>
  </xdr:twoCellAnchor>
  <xdr:twoCellAnchor editAs="absolute">
    <xdr:from>
      <xdr:col>35</xdr:col>
      <xdr:colOff>66675</xdr:colOff>
      <xdr:row>31</xdr:row>
      <xdr:rowOff>95250</xdr:rowOff>
    </xdr:from>
    <xdr:to>
      <xdr:col>37</xdr:col>
      <xdr:colOff>161925</xdr:colOff>
      <xdr:row>34</xdr:row>
      <xdr:rowOff>85725</xdr:rowOff>
    </xdr:to>
    <xdr:grpSp>
      <xdr:nvGrpSpPr>
        <xdr:cNvPr id="487" name="Group 487"/>
        <xdr:cNvGrpSpPr>
          <a:grpSpLocks/>
        </xdr:cNvGrpSpPr>
      </xdr:nvGrpSpPr>
      <xdr:grpSpPr>
        <a:xfrm>
          <a:off x="6734175" y="5343525"/>
          <a:ext cx="476250" cy="485775"/>
          <a:chOff x="569" y="560"/>
          <a:chExt cx="50" cy="51"/>
        </a:xfrm>
        <a:solidFill>
          <a:srgbClr val="FFFFFF"/>
        </a:solidFill>
      </xdr:grpSpPr>
      <xdr:sp>
        <xdr:nvSpPr>
          <xdr:cNvPr id="488" name="AutoShape 488"/>
          <xdr:cNvSpPr>
            <a:spLocks/>
          </xdr:cNvSpPr>
        </xdr:nvSpPr>
        <xdr:spPr>
          <a:xfrm>
            <a:off x="573" y="560"/>
            <a:ext cx="46" cy="40"/>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9" name="Rectangle 489"/>
          <xdr:cNvSpPr>
            <a:spLocks/>
          </xdr:cNvSpPr>
        </xdr:nvSpPr>
        <xdr:spPr>
          <a:xfrm rot="1753475">
            <a:off x="594" y="579"/>
            <a:ext cx="10" cy="7"/>
          </a:xfrm>
          <a:prstGeom prst="rect">
            <a:avLst/>
          </a:prstGeom>
          <a:solidFill>
            <a:srgbClr val="FF66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0" name="Arc 490"/>
          <xdr:cNvSpPr>
            <a:spLocks/>
          </xdr:cNvSpPr>
        </xdr:nvSpPr>
        <xdr:spPr>
          <a:xfrm rot="7066746" flipH="1">
            <a:off x="569" y="575"/>
            <a:ext cx="31" cy="30"/>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1" name="Arc 491"/>
          <xdr:cNvSpPr>
            <a:spLocks/>
          </xdr:cNvSpPr>
        </xdr:nvSpPr>
        <xdr:spPr>
          <a:xfrm rot="15486467">
            <a:off x="596" y="589"/>
            <a:ext cx="18" cy="10"/>
          </a:xfrm>
          <a:prstGeom prst="arc">
            <a:avLst>
              <a:gd name="adj1" fmla="val -26116222"/>
              <a:gd name="adj2" fmla="val 9902115"/>
              <a:gd name="adj3" fmla="val 4974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2" name="Arc 492"/>
          <xdr:cNvSpPr>
            <a:spLocks/>
          </xdr:cNvSpPr>
        </xdr:nvSpPr>
        <xdr:spPr>
          <a:xfrm rot="1363305">
            <a:off x="574" y="571"/>
            <a:ext cx="10" cy="18"/>
          </a:xfrm>
          <a:prstGeom prst="arc">
            <a:avLst>
              <a:gd name="adj1" fmla="val -26116222"/>
              <a:gd name="adj2" fmla="val 9902115"/>
              <a:gd name="adj3" fmla="val 4974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3" name="Arc 493"/>
          <xdr:cNvSpPr>
            <a:spLocks/>
          </xdr:cNvSpPr>
        </xdr:nvSpPr>
        <xdr:spPr>
          <a:xfrm rot="18208223">
            <a:off x="578" y="579"/>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4" name="Oval 494"/>
          <xdr:cNvSpPr>
            <a:spLocks/>
          </xdr:cNvSpPr>
        </xdr:nvSpPr>
        <xdr:spPr>
          <a:xfrm>
            <a:off x="600" y="569"/>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70</a:t>
            </a:r>
          </a:p>
        </xdr:txBody>
      </xdr:sp>
    </xdr:grpSp>
    <xdr:clientData/>
  </xdr:twoCellAnchor>
  <xdr:twoCellAnchor editAs="absolute">
    <xdr:from>
      <xdr:col>37</xdr:col>
      <xdr:colOff>171450</xdr:colOff>
      <xdr:row>31</xdr:row>
      <xdr:rowOff>57150</xdr:rowOff>
    </xdr:from>
    <xdr:to>
      <xdr:col>40</xdr:col>
      <xdr:colOff>76200</xdr:colOff>
      <xdr:row>33</xdr:row>
      <xdr:rowOff>152400</xdr:rowOff>
    </xdr:to>
    <xdr:grpSp>
      <xdr:nvGrpSpPr>
        <xdr:cNvPr id="495" name="Group 495"/>
        <xdr:cNvGrpSpPr>
          <a:grpSpLocks/>
        </xdr:cNvGrpSpPr>
      </xdr:nvGrpSpPr>
      <xdr:grpSpPr>
        <a:xfrm>
          <a:off x="7219950" y="5305425"/>
          <a:ext cx="476250" cy="428625"/>
          <a:chOff x="570" y="576"/>
          <a:chExt cx="50" cy="45"/>
        </a:xfrm>
        <a:solidFill>
          <a:srgbClr val="FFFFFF"/>
        </a:solidFill>
      </xdr:grpSpPr>
      <xdr:sp>
        <xdr:nvSpPr>
          <xdr:cNvPr id="496" name="AutoShape 496"/>
          <xdr:cNvSpPr>
            <a:spLocks/>
          </xdr:cNvSpPr>
        </xdr:nvSpPr>
        <xdr:spPr>
          <a:xfrm>
            <a:off x="574" y="576"/>
            <a:ext cx="46" cy="40"/>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7" name="Rectangle 497"/>
          <xdr:cNvSpPr>
            <a:spLocks/>
          </xdr:cNvSpPr>
        </xdr:nvSpPr>
        <xdr:spPr>
          <a:xfrm rot="1753475">
            <a:off x="595" y="595"/>
            <a:ext cx="10" cy="7"/>
          </a:xfrm>
          <a:prstGeom prst="rect">
            <a:avLst/>
          </a:prstGeom>
          <a:solidFill>
            <a:srgbClr val="FF66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8" name="Arc 498"/>
          <xdr:cNvSpPr>
            <a:spLocks/>
          </xdr:cNvSpPr>
        </xdr:nvSpPr>
        <xdr:spPr>
          <a:xfrm rot="7066746" flipH="1">
            <a:off x="570" y="591"/>
            <a:ext cx="31" cy="30"/>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9" name="Arc 499"/>
          <xdr:cNvSpPr>
            <a:spLocks/>
          </xdr:cNvSpPr>
        </xdr:nvSpPr>
        <xdr:spPr>
          <a:xfrm rot="19306582">
            <a:off x="584" y="602"/>
            <a:ext cx="10" cy="18"/>
          </a:xfrm>
          <a:prstGeom prst="arc">
            <a:avLst>
              <a:gd name="adj1" fmla="val -26116222"/>
              <a:gd name="adj2" fmla="val 9902115"/>
              <a:gd name="adj3" fmla="val 4974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0" name="Arc 500"/>
          <xdr:cNvSpPr>
            <a:spLocks/>
          </xdr:cNvSpPr>
        </xdr:nvSpPr>
        <xdr:spPr>
          <a:xfrm rot="1363305">
            <a:off x="575" y="587"/>
            <a:ext cx="10" cy="18"/>
          </a:xfrm>
          <a:prstGeom prst="arc">
            <a:avLst>
              <a:gd name="adj1" fmla="val -26116222"/>
              <a:gd name="adj2" fmla="val 9902115"/>
              <a:gd name="adj3" fmla="val 4974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1" name="Oval 501"/>
          <xdr:cNvSpPr>
            <a:spLocks/>
          </xdr:cNvSpPr>
        </xdr:nvSpPr>
        <xdr:spPr>
          <a:xfrm>
            <a:off x="602" y="588"/>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29</a:t>
            </a:r>
          </a:p>
        </xdr:txBody>
      </xdr:sp>
    </xdr:grpSp>
    <xdr:clientData/>
  </xdr:twoCellAnchor>
  <xdr:twoCellAnchor editAs="absolute">
    <xdr:from>
      <xdr:col>39</xdr:col>
      <xdr:colOff>180975</xdr:colOff>
      <xdr:row>31</xdr:row>
      <xdr:rowOff>57150</xdr:rowOff>
    </xdr:from>
    <xdr:to>
      <xdr:col>42</xdr:col>
      <xdr:colOff>133350</xdr:colOff>
      <xdr:row>33</xdr:row>
      <xdr:rowOff>104775</xdr:rowOff>
    </xdr:to>
    <xdr:grpSp>
      <xdr:nvGrpSpPr>
        <xdr:cNvPr id="502" name="Group 502"/>
        <xdr:cNvGrpSpPr>
          <a:grpSpLocks/>
        </xdr:cNvGrpSpPr>
      </xdr:nvGrpSpPr>
      <xdr:grpSpPr>
        <a:xfrm>
          <a:off x="7610475" y="5305425"/>
          <a:ext cx="523875" cy="381000"/>
          <a:chOff x="622" y="534"/>
          <a:chExt cx="55" cy="40"/>
        </a:xfrm>
        <a:solidFill>
          <a:srgbClr val="FFFFFF"/>
        </a:solidFill>
      </xdr:grpSpPr>
      <xdr:sp>
        <xdr:nvSpPr>
          <xdr:cNvPr id="503" name="AutoShape 503"/>
          <xdr:cNvSpPr>
            <a:spLocks/>
          </xdr:cNvSpPr>
        </xdr:nvSpPr>
        <xdr:spPr>
          <a:xfrm>
            <a:off x="627" y="534"/>
            <a:ext cx="46" cy="40"/>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4" name="Arc 504"/>
          <xdr:cNvSpPr>
            <a:spLocks/>
          </xdr:cNvSpPr>
        </xdr:nvSpPr>
        <xdr:spPr>
          <a:xfrm rot="11955967">
            <a:off x="660" y="545"/>
            <a:ext cx="17" cy="19"/>
          </a:xfrm>
          <a:prstGeom prst="arc">
            <a:avLst>
              <a:gd name="adj1" fmla="val -20069518"/>
              <a:gd name="adj2" fmla="val 10323888"/>
              <a:gd name="adj3" fmla="val 41342"/>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5" name="Rectangle 505"/>
          <xdr:cNvSpPr>
            <a:spLocks/>
          </xdr:cNvSpPr>
        </xdr:nvSpPr>
        <xdr:spPr>
          <a:xfrm rot="1753475">
            <a:off x="648" y="553"/>
            <a:ext cx="10" cy="7"/>
          </a:xfrm>
          <a:prstGeom prst="rect">
            <a:avLst/>
          </a:prstGeom>
          <a:solidFill>
            <a:srgbClr val="FF66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6" name="Line 506"/>
          <xdr:cNvSpPr>
            <a:spLocks/>
          </xdr:cNvSpPr>
        </xdr:nvSpPr>
        <xdr:spPr>
          <a:xfrm>
            <a:off x="633" y="544"/>
            <a:ext cx="34" cy="2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7" name="Line 507"/>
          <xdr:cNvSpPr>
            <a:spLocks/>
          </xdr:cNvSpPr>
        </xdr:nvSpPr>
        <xdr:spPr>
          <a:xfrm rot="19715690">
            <a:off x="629" y="553"/>
            <a:ext cx="41" cy="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8" name="Arc 508"/>
          <xdr:cNvSpPr>
            <a:spLocks/>
          </xdr:cNvSpPr>
        </xdr:nvSpPr>
        <xdr:spPr>
          <a:xfrm rot="9644032" flipH="1">
            <a:off x="622" y="545"/>
            <a:ext cx="17" cy="19"/>
          </a:xfrm>
          <a:prstGeom prst="arc">
            <a:avLst>
              <a:gd name="adj1" fmla="val -20069518"/>
              <a:gd name="adj2" fmla="val 10323888"/>
              <a:gd name="adj3" fmla="val 41342"/>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9" name="Oval 509"/>
          <xdr:cNvSpPr>
            <a:spLocks/>
          </xdr:cNvSpPr>
        </xdr:nvSpPr>
        <xdr:spPr>
          <a:xfrm>
            <a:off x="647" y="559"/>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44</a:t>
            </a:r>
          </a:p>
        </xdr:txBody>
      </xdr:sp>
    </xdr:grpSp>
    <xdr:clientData/>
  </xdr:twoCellAnchor>
  <xdr:twoCellAnchor editAs="absolute">
    <xdr:from>
      <xdr:col>42</xdr:col>
      <xdr:colOff>66675</xdr:colOff>
      <xdr:row>30</xdr:row>
      <xdr:rowOff>114300</xdr:rowOff>
    </xdr:from>
    <xdr:to>
      <xdr:col>45</xdr:col>
      <xdr:colOff>38100</xdr:colOff>
      <xdr:row>34</xdr:row>
      <xdr:rowOff>0</xdr:rowOff>
    </xdr:to>
    <xdr:grpSp>
      <xdr:nvGrpSpPr>
        <xdr:cNvPr id="510" name="Group 510"/>
        <xdr:cNvGrpSpPr>
          <a:grpSpLocks/>
        </xdr:cNvGrpSpPr>
      </xdr:nvGrpSpPr>
      <xdr:grpSpPr>
        <a:xfrm>
          <a:off x="8067675" y="5191125"/>
          <a:ext cx="542925" cy="552450"/>
          <a:chOff x="633" y="490"/>
          <a:chExt cx="57" cy="58"/>
        </a:xfrm>
        <a:solidFill>
          <a:srgbClr val="FFFFFF"/>
        </a:solidFill>
      </xdr:grpSpPr>
      <xdr:sp>
        <xdr:nvSpPr>
          <xdr:cNvPr id="511" name="AutoShape 511"/>
          <xdr:cNvSpPr>
            <a:spLocks/>
          </xdr:cNvSpPr>
        </xdr:nvSpPr>
        <xdr:spPr>
          <a:xfrm rot="21614661">
            <a:off x="639" y="502"/>
            <a:ext cx="46" cy="40"/>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2" name="Arc 512"/>
          <xdr:cNvSpPr>
            <a:spLocks/>
          </xdr:cNvSpPr>
        </xdr:nvSpPr>
        <xdr:spPr>
          <a:xfrm rot="14533253">
            <a:off x="658" y="516"/>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3" name="Arc 513"/>
          <xdr:cNvSpPr>
            <a:spLocks/>
          </xdr:cNvSpPr>
        </xdr:nvSpPr>
        <xdr:spPr>
          <a:xfrm rot="3391776" flipV="1">
            <a:off x="643" y="490"/>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4" name="Arc 514"/>
          <xdr:cNvSpPr>
            <a:spLocks/>
          </xdr:cNvSpPr>
        </xdr:nvSpPr>
        <xdr:spPr>
          <a:xfrm rot="7066746" flipH="1">
            <a:off x="633" y="516"/>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5" name="Oval 515"/>
          <xdr:cNvSpPr>
            <a:spLocks/>
          </xdr:cNvSpPr>
        </xdr:nvSpPr>
        <xdr:spPr>
          <a:xfrm>
            <a:off x="659" y="50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40</a:t>
            </a:r>
          </a:p>
        </xdr:txBody>
      </xdr:sp>
    </xdr:grpSp>
    <xdr:clientData/>
  </xdr:twoCellAnchor>
  <xdr:twoCellAnchor editAs="absolute">
    <xdr:from>
      <xdr:col>14</xdr:col>
      <xdr:colOff>180975</xdr:colOff>
      <xdr:row>14</xdr:row>
      <xdr:rowOff>123825</xdr:rowOff>
    </xdr:from>
    <xdr:to>
      <xdr:col>16</xdr:col>
      <xdr:colOff>180975</xdr:colOff>
      <xdr:row>17</xdr:row>
      <xdr:rowOff>47625</xdr:rowOff>
    </xdr:to>
    <xdr:grpSp>
      <xdr:nvGrpSpPr>
        <xdr:cNvPr id="516" name="Group 516"/>
        <xdr:cNvGrpSpPr>
          <a:grpSpLocks/>
        </xdr:cNvGrpSpPr>
      </xdr:nvGrpSpPr>
      <xdr:grpSpPr>
        <a:xfrm rot="1800000">
          <a:off x="2847975" y="2466975"/>
          <a:ext cx="381000" cy="438150"/>
          <a:chOff x="691" y="524"/>
          <a:chExt cx="40" cy="46"/>
        </a:xfrm>
        <a:solidFill>
          <a:srgbClr val="FFFFFF"/>
        </a:solidFill>
      </xdr:grpSpPr>
      <xdr:sp>
        <xdr:nvSpPr>
          <xdr:cNvPr id="517" name="AutoShape 517"/>
          <xdr:cNvSpPr>
            <a:spLocks/>
          </xdr:cNvSpPr>
        </xdr:nvSpPr>
        <xdr:spPr>
          <a:xfrm rot="3640816">
            <a:off x="691" y="524"/>
            <a:ext cx="40" cy="46"/>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8" name="Line 518"/>
          <xdr:cNvSpPr>
            <a:spLocks/>
          </xdr:cNvSpPr>
        </xdr:nvSpPr>
        <xdr:spPr>
          <a:xfrm>
            <a:off x="711" y="527"/>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9" name="Line 519"/>
          <xdr:cNvSpPr>
            <a:spLocks/>
          </xdr:cNvSpPr>
        </xdr:nvSpPr>
        <xdr:spPr>
          <a:xfrm>
            <a:off x="694" y="537"/>
            <a:ext cx="33" cy="2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0" name="Line 520"/>
          <xdr:cNvSpPr>
            <a:spLocks/>
          </xdr:cNvSpPr>
        </xdr:nvSpPr>
        <xdr:spPr>
          <a:xfrm flipV="1">
            <a:off x="694" y="537"/>
            <a:ext cx="34" cy="2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1" name="Rectangle 521"/>
          <xdr:cNvSpPr>
            <a:spLocks/>
          </xdr:cNvSpPr>
        </xdr:nvSpPr>
        <xdr:spPr>
          <a:xfrm rot="5400000">
            <a:off x="706" y="536"/>
            <a:ext cx="11" cy="23"/>
          </a:xfrm>
          <a:prstGeom prst="roundRect">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2" name="Oval 522"/>
          <xdr:cNvSpPr>
            <a:spLocks/>
          </xdr:cNvSpPr>
        </xdr:nvSpPr>
        <xdr:spPr>
          <a:xfrm rot="5400000">
            <a:off x="712" y="542"/>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3" name="Oval 523"/>
          <xdr:cNvSpPr>
            <a:spLocks/>
          </xdr:cNvSpPr>
        </xdr:nvSpPr>
        <xdr:spPr>
          <a:xfrm rot="5400000">
            <a:off x="699" y="542"/>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4" name="Oval 524"/>
          <xdr:cNvSpPr>
            <a:spLocks/>
          </xdr:cNvSpPr>
        </xdr:nvSpPr>
        <xdr:spPr>
          <a:xfrm>
            <a:off x="711" y="553"/>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63</a:t>
            </a:r>
          </a:p>
        </xdr:txBody>
      </xdr:sp>
      <xdr:sp>
        <xdr:nvSpPr>
          <xdr:cNvPr id="525" name="Oval 525"/>
          <xdr:cNvSpPr>
            <a:spLocks/>
          </xdr:cNvSpPr>
        </xdr:nvSpPr>
        <xdr:spPr>
          <a:xfrm>
            <a:off x="714" y="529"/>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526" name="Oval 526"/>
          <xdr:cNvSpPr>
            <a:spLocks/>
          </xdr:cNvSpPr>
        </xdr:nvSpPr>
        <xdr:spPr>
          <a:xfrm>
            <a:off x="711" y="526"/>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a:t>
            </a:r>
          </a:p>
        </xdr:txBody>
      </xdr:sp>
    </xdr:grpSp>
    <xdr:clientData/>
  </xdr:twoCellAnchor>
  <xdr:twoCellAnchor editAs="absolute">
    <xdr:from>
      <xdr:col>6</xdr:col>
      <xdr:colOff>161925</xdr:colOff>
      <xdr:row>10</xdr:row>
      <xdr:rowOff>152400</xdr:rowOff>
    </xdr:from>
    <xdr:to>
      <xdr:col>9</xdr:col>
      <xdr:colOff>28575</xdr:colOff>
      <xdr:row>13</xdr:row>
      <xdr:rowOff>19050</xdr:rowOff>
    </xdr:to>
    <xdr:grpSp>
      <xdr:nvGrpSpPr>
        <xdr:cNvPr id="527" name="Group 527"/>
        <xdr:cNvGrpSpPr>
          <a:grpSpLocks/>
        </xdr:cNvGrpSpPr>
      </xdr:nvGrpSpPr>
      <xdr:grpSpPr>
        <a:xfrm rot="5400000">
          <a:off x="1304925" y="1809750"/>
          <a:ext cx="438150" cy="381000"/>
          <a:chOff x="628" y="464"/>
          <a:chExt cx="40" cy="46"/>
        </a:xfrm>
        <a:solidFill>
          <a:srgbClr val="FFFFFF"/>
        </a:solidFill>
      </xdr:grpSpPr>
      <xdr:sp>
        <xdr:nvSpPr>
          <xdr:cNvPr id="528" name="AutoShape 528"/>
          <xdr:cNvSpPr>
            <a:spLocks/>
          </xdr:cNvSpPr>
        </xdr:nvSpPr>
        <xdr:spPr>
          <a:xfrm rot="3640816">
            <a:off x="628" y="464"/>
            <a:ext cx="40" cy="46"/>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9" name="Line 529"/>
          <xdr:cNvSpPr>
            <a:spLocks/>
          </xdr:cNvSpPr>
        </xdr:nvSpPr>
        <xdr:spPr>
          <a:xfrm>
            <a:off x="648" y="467"/>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0" name="Line 530"/>
          <xdr:cNvSpPr>
            <a:spLocks/>
          </xdr:cNvSpPr>
        </xdr:nvSpPr>
        <xdr:spPr>
          <a:xfrm>
            <a:off x="631" y="477"/>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1" name="Line 531"/>
          <xdr:cNvSpPr>
            <a:spLocks/>
          </xdr:cNvSpPr>
        </xdr:nvSpPr>
        <xdr:spPr>
          <a:xfrm flipV="1">
            <a:off x="631" y="486"/>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2" name="Rectangle 532"/>
          <xdr:cNvSpPr>
            <a:spLocks/>
          </xdr:cNvSpPr>
        </xdr:nvSpPr>
        <xdr:spPr>
          <a:xfrm rot="5400000">
            <a:off x="643" y="476"/>
            <a:ext cx="11" cy="23"/>
          </a:xfrm>
          <a:prstGeom prst="roundRect">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3" name="Oval 533"/>
          <xdr:cNvSpPr>
            <a:spLocks/>
          </xdr:cNvSpPr>
        </xdr:nvSpPr>
        <xdr:spPr>
          <a:xfrm rot="5400000">
            <a:off x="649" y="482"/>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4" name="Oval 534"/>
          <xdr:cNvSpPr>
            <a:spLocks/>
          </xdr:cNvSpPr>
        </xdr:nvSpPr>
        <xdr:spPr>
          <a:xfrm rot="5400000">
            <a:off x="636" y="482"/>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5" name="Oval 535"/>
          <xdr:cNvSpPr>
            <a:spLocks/>
          </xdr:cNvSpPr>
        </xdr:nvSpPr>
        <xdr:spPr>
          <a:xfrm>
            <a:off x="648" y="49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78</a:t>
            </a:r>
          </a:p>
        </xdr:txBody>
      </xdr:sp>
      <xdr:sp>
        <xdr:nvSpPr>
          <xdr:cNvPr id="536" name="Oval 536"/>
          <xdr:cNvSpPr>
            <a:spLocks/>
          </xdr:cNvSpPr>
        </xdr:nvSpPr>
        <xdr:spPr>
          <a:xfrm>
            <a:off x="652" y="472"/>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537" name="Oval 537"/>
          <xdr:cNvSpPr>
            <a:spLocks/>
          </xdr:cNvSpPr>
        </xdr:nvSpPr>
        <xdr:spPr>
          <a:xfrm>
            <a:off x="649" y="469"/>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a:t>
            </a:r>
          </a:p>
        </xdr:txBody>
      </xdr:sp>
    </xdr:grpSp>
    <xdr:clientData/>
  </xdr:twoCellAnchor>
  <xdr:twoCellAnchor editAs="absolute">
    <xdr:from>
      <xdr:col>2</xdr:col>
      <xdr:colOff>152400</xdr:colOff>
      <xdr:row>10</xdr:row>
      <xdr:rowOff>152400</xdr:rowOff>
    </xdr:from>
    <xdr:to>
      <xdr:col>5</xdr:col>
      <xdr:colOff>19050</xdr:colOff>
      <xdr:row>13</xdr:row>
      <xdr:rowOff>19050</xdr:rowOff>
    </xdr:to>
    <xdr:grpSp>
      <xdr:nvGrpSpPr>
        <xdr:cNvPr id="538" name="Group 538"/>
        <xdr:cNvGrpSpPr>
          <a:grpSpLocks/>
        </xdr:cNvGrpSpPr>
      </xdr:nvGrpSpPr>
      <xdr:grpSpPr>
        <a:xfrm rot="5400000">
          <a:off x="533400" y="1809750"/>
          <a:ext cx="438150" cy="381000"/>
          <a:chOff x="628" y="464"/>
          <a:chExt cx="40" cy="46"/>
        </a:xfrm>
        <a:solidFill>
          <a:srgbClr val="FFFFFF"/>
        </a:solidFill>
      </xdr:grpSpPr>
      <xdr:sp>
        <xdr:nvSpPr>
          <xdr:cNvPr id="539" name="AutoShape 539"/>
          <xdr:cNvSpPr>
            <a:spLocks/>
          </xdr:cNvSpPr>
        </xdr:nvSpPr>
        <xdr:spPr>
          <a:xfrm rot="3640816">
            <a:off x="628" y="464"/>
            <a:ext cx="40" cy="46"/>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0" name="Line 540"/>
          <xdr:cNvSpPr>
            <a:spLocks/>
          </xdr:cNvSpPr>
        </xdr:nvSpPr>
        <xdr:spPr>
          <a:xfrm>
            <a:off x="648" y="467"/>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1" name="Line 541"/>
          <xdr:cNvSpPr>
            <a:spLocks/>
          </xdr:cNvSpPr>
        </xdr:nvSpPr>
        <xdr:spPr>
          <a:xfrm>
            <a:off x="631" y="477"/>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2" name="Line 542"/>
          <xdr:cNvSpPr>
            <a:spLocks/>
          </xdr:cNvSpPr>
        </xdr:nvSpPr>
        <xdr:spPr>
          <a:xfrm flipV="1">
            <a:off x="631" y="486"/>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3" name="Rectangle 543"/>
          <xdr:cNvSpPr>
            <a:spLocks/>
          </xdr:cNvSpPr>
        </xdr:nvSpPr>
        <xdr:spPr>
          <a:xfrm rot="5400000">
            <a:off x="643" y="476"/>
            <a:ext cx="11" cy="23"/>
          </a:xfrm>
          <a:prstGeom prst="roundRect">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4" name="Oval 544"/>
          <xdr:cNvSpPr>
            <a:spLocks/>
          </xdr:cNvSpPr>
        </xdr:nvSpPr>
        <xdr:spPr>
          <a:xfrm rot="5400000">
            <a:off x="649" y="482"/>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5" name="Oval 545"/>
          <xdr:cNvSpPr>
            <a:spLocks/>
          </xdr:cNvSpPr>
        </xdr:nvSpPr>
        <xdr:spPr>
          <a:xfrm rot="5400000">
            <a:off x="636" y="482"/>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6" name="Oval 546"/>
          <xdr:cNvSpPr>
            <a:spLocks/>
          </xdr:cNvSpPr>
        </xdr:nvSpPr>
        <xdr:spPr>
          <a:xfrm>
            <a:off x="648" y="49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78</a:t>
            </a:r>
          </a:p>
        </xdr:txBody>
      </xdr:sp>
      <xdr:sp>
        <xdr:nvSpPr>
          <xdr:cNvPr id="547" name="Oval 547"/>
          <xdr:cNvSpPr>
            <a:spLocks/>
          </xdr:cNvSpPr>
        </xdr:nvSpPr>
        <xdr:spPr>
          <a:xfrm>
            <a:off x="652" y="472"/>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548" name="Oval 548"/>
          <xdr:cNvSpPr>
            <a:spLocks/>
          </xdr:cNvSpPr>
        </xdr:nvSpPr>
        <xdr:spPr>
          <a:xfrm>
            <a:off x="649" y="469"/>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a:t>
            </a:r>
          </a:p>
        </xdr:txBody>
      </xdr:sp>
    </xdr:grpSp>
    <xdr:clientData/>
  </xdr:twoCellAnchor>
  <xdr:twoCellAnchor editAs="absolute">
    <xdr:from>
      <xdr:col>12</xdr:col>
      <xdr:colOff>0</xdr:colOff>
      <xdr:row>8</xdr:row>
      <xdr:rowOff>142875</xdr:rowOff>
    </xdr:from>
    <xdr:to>
      <xdr:col>14</xdr:col>
      <xdr:colOff>0</xdr:colOff>
      <xdr:row>11</xdr:row>
      <xdr:rowOff>66675</xdr:rowOff>
    </xdr:to>
    <xdr:grpSp>
      <xdr:nvGrpSpPr>
        <xdr:cNvPr id="549" name="Group 549"/>
        <xdr:cNvGrpSpPr>
          <a:grpSpLocks/>
        </xdr:cNvGrpSpPr>
      </xdr:nvGrpSpPr>
      <xdr:grpSpPr>
        <a:xfrm rot="1800000">
          <a:off x="2286000" y="1457325"/>
          <a:ext cx="381000" cy="438150"/>
          <a:chOff x="691" y="524"/>
          <a:chExt cx="40" cy="46"/>
        </a:xfrm>
        <a:solidFill>
          <a:srgbClr val="FFFFFF"/>
        </a:solidFill>
      </xdr:grpSpPr>
      <xdr:sp>
        <xdr:nvSpPr>
          <xdr:cNvPr id="550" name="AutoShape 550"/>
          <xdr:cNvSpPr>
            <a:spLocks/>
          </xdr:cNvSpPr>
        </xdr:nvSpPr>
        <xdr:spPr>
          <a:xfrm rot="3640816">
            <a:off x="691" y="524"/>
            <a:ext cx="40" cy="46"/>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1" name="Line 551"/>
          <xdr:cNvSpPr>
            <a:spLocks/>
          </xdr:cNvSpPr>
        </xdr:nvSpPr>
        <xdr:spPr>
          <a:xfrm>
            <a:off x="711" y="527"/>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2" name="Line 552"/>
          <xdr:cNvSpPr>
            <a:spLocks/>
          </xdr:cNvSpPr>
        </xdr:nvSpPr>
        <xdr:spPr>
          <a:xfrm>
            <a:off x="694" y="537"/>
            <a:ext cx="33" cy="2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3" name="Line 553"/>
          <xdr:cNvSpPr>
            <a:spLocks/>
          </xdr:cNvSpPr>
        </xdr:nvSpPr>
        <xdr:spPr>
          <a:xfrm flipV="1">
            <a:off x="694" y="537"/>
            <a:ext cx="34" cy="2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4" name="Rectangle 554"/>
          <xdr:cNvSpPr>
            <a:spLocks/>
          </xdr:cNvSpPr>
        </xdr:nvSpPr>
        <xdr:spPr>
          <a:xfrm rot="5400000">
            <a:off x="706" y="536"/>
            <a:ext cx="11" cy="23"/>
          </a:xfrm>
          <a:prstGeom prst="roundRect">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5" name="Oval 555"/>
          <xdr:cNvSpPr>
            <a:spLocks/>
          </xdr:cNvSpPr>
        </xdr:nvSpPr>
        <xdr:spPr>
          <a:xfrm rot="5400000">
            <a:off x="712" y="542"/>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6" name="Oval 556"/>
          <xdr:cNvSpPr>
            <a:spLocks/>
          </xdr:cNvSpPr>
        </xdr:nvSpPr>
        <xdr:spPr>
          <a:xfrm rot="5400000">
            <a:off x="699" y="542"/>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7" name="Oval 557"/>
          <xdr:cNvSpPr>
            <a:spLocks/>
          </xdr:cNvSpPr>
        </xdr:nvSpPr>
        <xdr:spPr>
          <a:xfrm>
            <a:off x="711" y="553"/>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63</a:t>
            </a:r>
          </a:p>
        </xdr:txBody>
      </xdr:sp>
      <xdr:sp>
        <xdr:nvSpPr>
          <xdr:cNvPr id="558" name="Oval 558"/>
          <xdr:cNvSpPr>
            <a:spLocks/>
          </xdr:cNvSpPr>
        </xdr:nvSpPr>
        <xdr:spPr>
          <a:xfrm>
            <a:off x="714" y="529"/>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559" name="Oval 559"/>
          <xdr:cNvSpPr>
            <a:spLocks/>
          </xdr:cNvSpPr>
        </xdr:nvSpPr>
        <xdr:spPr>
          <a:xfrm>
            <a:off x="711" y="526"/>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a:t>
            </a:r>
          </a:p>
        </xdr:txBody>
      </xdr:sp>
    </xdr:grpSp>
    <xdr:clientData/>
  </xdr:twoCellAnchor>
  <xdr:twoCellAnchor editAs="absolute">
    <xdr:from>
      <xdr:col>14</xdr:col>
      <xdr:colOff>161925</xdr:colOff>
      <xdr:row>18</xdr:row>
      <xdr:rowOff>152400</xdr:rowOff>
    </xdr:from>
    <xdr:to>
      <xdr:col>17</xdr:col>
      <xdr:colOff>28575</xdr:colOff>
      <xdr:row>21</xdr:row>
      <xdr:rowOff>19050</xdr:rowOff>
    </xdr:to>
    <xdr:grpSp>
      <xdr:nvGrpSpPr>
        <xdr:cNvPr id="560" name="Group 560"/>
        <xdr:cNvGrpSpPr>
          <a:grpSpLocks/>
        </xdr:cNvGrpSpPr>
      </xdr:nvGrpSpPr>
      <xdr:grpSpPr>
        <a:xfrm rot="16200000">
          <a:off x="2828925" y="3181350"/>
          <a:ext cx="438150" cy="381000"/>
          <a:chOff x="691" y="524"/>
          <a:chExt cx="40" cy="46"/>
        </a:xfrm>
        <a:solidFill>
          <a:srgbClr val="FFFFFF"/>
        </a:solidFill>
      </xdr:grpSpPr>
      <xdr:sp>
        <xdr:nvSpPr>
          <xdr:cNvPr id="561" name="AutoShape 561"/>
          <xdr:cNvSpPr>
            <a:spLocks/>
          </xdr:cNvSpPr>
        </xdr:nvSpPr>
        <xdr:spPr>
          <a:xfrm rot="3640816">
            <a:off x="691" y="524"/>
            <a:ext cx="40" cy="46"/>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2" name="Line 562"/>
          <xdr:cNvSpPr>
            <a:spLocks/>
          </xdr:cNvSpPr>
        </xdr:nvSpPr>
        <xdr:spPr>
          <a:xfrm>
            <a:off x="711" y="527"/>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3" name="Line 563"/>
          <xdr:cNvSpPr>
            <a:spLocks/>
          </xdr:cNvSpPr>
        </xdr:nvSpPr>
        <xdr:spPr>
          <a:xfrm>
            <a:off x="694" y="537"/>
            <a:ext cx="33" cy="2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4" name="Line 564"/>
          <xdr:cNvSpPr>
            <a:spLocks/>
          </xdr:cNvSpPr>
        </xdr:nvSpPr>
        <xdr:spPr>
          <a:xfrm flipV="1">
            <a:off x="694" y="537"/>
            <a:ext cx="34" cy="2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5" name="Rectangle 565"/>
          <xdr:cNvSpPr>
            <a:spLocks/>
          </xdr:cNvSpPr>
        </xdr:nvSpPr>
        <xdr:spPr>
          <a:xfrm rot="5400000">
            <a:off x="706" y="536"/>
            <a:ext cx="11" cy="23"/>
          </a:xfrm>
          <a:prstGeom prst="roundRect">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6" name="Oval 566"/>
          <xdr:cNvSpPr>
            <a:spLocks/>
          </xdr:cNvSpPr>
        </xdr:nvSpPr>
        <xdr:spPr>
          <a:xfrm rot="5400000">
            <a:off x="712" y="542"/>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7" name="Oval 567"/>
          <xdr:cNvSpPr>
            <a:spLocks/>
          </xdr:cNvSpPr>
        </xdr:nvSpPr>
        <xdr:spPr>
          <a:xfrm rot="5400000">
            <a:off x="699" y="542"/>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8" name="Oval 568"/>
          <xdr:cNvSpPr>
            <a:spLocks/>
          </xdr:cNvSpPr>
        </xdr:nvSpPr>
        <xdr:spPr>
          <a:xfrm>
            <a:off x="711" y="553"/>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63</a:t>
            </a:r>
          </a:p>
        </xdr:txBody>
      </xdr:sp>
      <xdr:sp>
        <xdr:nvSpPr>
          <xdr:cNvPr id="569" name="Oval 569"/>
          <xdr:cNvSpPr>
            <a:spLocks/>
          </xdr:cNvSpPr>
        </xdr:nvSpPr>
        <xdr:spPr>
          <a:xfrm>
            <a:off x="714" y="529"/>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570" name="Oval 570"/>
          <xdr:cNvSpPr>
            <a:spLocks/>
          </xdr:cNvSpPr>
        </xdr:nvSpPr>
        <xdr:spPr>
          <a:xfrm>
            <a:off x="711" y="526"/>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a:t>
            </a:r>
          </a:p>
        </xdr:txBody>
      </xdr:sp>
    </xdr:grpSp>
    <xdr:clientData/>
  </xdr:twoCellAnchor>
  <xdr:twoCellAnchor editAs="absolute">
    <xdr:from>
      <xdr:col>36</xdr:col>
      <xdr:colOff>19050</xdr:colOff>
      <xdr:row>23</xdr:row>
      <xdr:rowOff>133350</xdr:rowOff>
    </xdr:from>
    <xdr:to>
      <xdr:col>38</xdr:col>
      <xdr:colOff>76200</xdr:colOff>
      <xdr:row>26</xdr:row>
      <xdr:rowOff>0</xdr:rowOff>
    </xdr:to>
    <xdr:grpSp>
      <xdr:nvGrpSpPr>
        <xdr:cNvPr id="571" name="Group 571"/>
        <xdr:cNvGrpSpPr>
          <a:grpSpLocks/>
        </xdr:cNvGrpSpPr>
      </xdr:nvGrpSpPr>
      <xdr:grpSpPr>
        <a:xfrm rot="5400000">
          <a:off x="6877050" y="4019550"/>
          <a:ext cx="438150" cy="381000"/>
          <a:chOff x="693" y="517"/>
          <a:chExt cx="40" cy="46"/>
        </a:xfrm>
        <a:solidFill>
          <a:srgbClr val="FFFFFF"/>
        </a:solidFill>
      </xdr:grpSpPr>
      <xdr:sp>
        <xdr:nvSpPr>
          <xdr:cNvPr id="572" name="AutoShape 572"/>
          <xdr:cNvSpPr>
            <a:spLocks/>
          </xdr:cNvSpPr>
        </xdr:nvSpPr>
        <xdr:spPr>
          <a:xfrm rot="3640816">
            <a:off x="693" y="517"/>
            <a:ext cx="40" cy="46"/>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3" name="Line 573"/>
          <xdr:cNvSpPr>
            <a:spLocks/>
          </xdr:cNvSpPr>
        </xdr:nvSpPr>
        <xdr:spPr>
          <a:xfrm>
            <a:off x="713" y="520"/>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4" name="Line 574"/>
          <xdr:cNvSpPr>
            <a:spLocks/>
          </xdr:cNvSpPr>
        </xdr:nvSpPr>
        <xdr:spPr>
          <a:xfrm>
            <a:off x="696" y="530"/>
            <a:ext cx="33" cy="2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5" name="Line 575"/>
          <xdr:cNvSpPr>
            <a:spLocks/>
          </xdr:cNvSpPr>
        </xdr:nvSpPr>
        <xdr:spPr>
          <a:xfrm flipV="1">
            <a:off x="696" y="540"/>
            <a:ext cx="17" cy="1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6" name="Rectangle 576"/>
          <xdr:cNvSpPr>
            <a:spLocks/>
          </xdr:cNvSpPr>
        </xdr:nvSpPr>
        <xdr:spPr>
          <a:xfrm rot="5400000">
            <a:off x="708" y="529"/>
            <a:ext cx="11" cy="23"/>
          </a:xfrm>
          <a:prstGeom prst="roundRect">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7" name="Oval 577"/>
          <xdr:cNvSpPr>
            <a:spLocks/>
          </xdr:cNvSpPr>
        </xdr:nvSpPr>
        <xdr:spPr>
          <a:xfrm rot="5400000">
            <a:off x="714" y="535"/>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8" name="Oval 578"/>
          <xdr:cNvSpPr>
            <a:spLocks/>
          </xdr:cNvSpPr>
        </xdr:nvSpPr>
        <xdr:spPr>
          <a:xfrm rot="5400000">
            <a:off x="701" y="535"/>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9" name="Oval 579"/>
          <xdr:cNvSpPr>
            <a:spLocks/>
          </xdr:cNvSpPr>
        </xdr:nvSpPr>
        <xdr:spPr>
          <a:xfrm>
            <a:off x="717" y="524"/>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580" name="Oval 580"/>
          <xdr:cNvSpPr>
            <a:spLocks/>
          </xdr:cNvSpPr>
        </xdr:nvSpPr>
        <xdr:spPr>
          <a:xfrm>
            <a:off x="714" y="52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a:t>
            </a:r>
          </a:p>
        </xdr:txBody>
      </xdr:sp>
      <xdr:sp>
        <xdr:nvSpPr>
          <xdr:cNvPr id="581" name="Oval 581"/>
          <xdr:cNvSpPr>
            <a:spLocks/>
          </xdr:cNvSpPr>
        </xdr:nvSpPr>
        <xdr:spPr>
          <a:xfrm>
            <a:off x="712" y="546"/>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74</a:t>
            </a:r>
          </a:p>
        </xdr:txBody>
      </xdr:sp>
    </xdr:grpSp>
    <xdr:clientData/>
  </xdr:twoCellAnchor>
  <xdr:twoCellAnchor editAs="absolute">
    <xdr:from>
      <xdr:col>13</xdr:col>
      <xdr:colOff>9525</xdr:colOff>
      <xdr:row>10</xdr:row>
      <xdr:rowOff>133350</xdr:rowOff>
    </xdr:from>
    <xdr:to>
      <xdr:col>15</xdr:col>
      <xdr:colOff>9525</xdr:colOff>
      <xdr:row>13</xdr:row>
      <xdr:rowOff>57150</xdr:rowOff>
    </xdr:to>
    <xdr:grpSp>
      <xdr:nvGrpSpPr>
        <xdr:cNvPr id="582" name="Group 582"/>
        <xdr:cNvGrpSpPr>
          <a:grpSpLocks/>
        </xdr:cNvGrpSpPr>
      </xdr:nvGrpSpPr>
      <xdr:grpSpPr>
        <a:xfrm rot="1800000">
          <a:off x="2486025" y="1790700"/>
          <a:ext cx="381000" cy="438150"/>
          <a:chOff x="628" y="464"/>
          <a:chExt cx="40" cy="46"/>
        </a:xfrm>
        <a:solidFill>
          <a:srgbClr val="FFFFFF"/>
        </a:solidFill>
      </xdr:grpSpPr>
      <xdr:sp>
        <xdr:nvSpPr>
          <xdr:cNvPr id="583" name="AutoShape 583"/>
          <xdr:cNvSpPr>
            <a:spLocks/>
          </xdr:cNvSpPr>
        </xdr:nvSpPr>
        <xdr:spPr>
          <a:xfrm rot="3640816">
            <a:off x="628" y="464"/>
            <a:ext cx="40" cy="46"/>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4" name="Line 584"/>
          <xdr:cNvSpPr>
            <a:spLocks/>
          </xdr:cNvSpPr>
        </xdr:nvSpPr>
        <xdr:spPr>
          <a:xfrm>
            <a:off x="648" y="467"/>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5" name="Line 585"/>
          <xdr:cNvSpPr>
            <a:spLocks/>
          </xdr:cNvSpPr>
        </xdr:nvSpPr>
        <xdr:spPr>
          <a:xfrm>
            <a:off x="631" y="477"/>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6" name="Line 586"/>
          <xdr:cNvSpPr>
            <a:spLocks/>
          </xdr:cNvSpPr>
        </xdr:nvSpPr>
        <xdr:spPr>
          <a:xfrm flipV="1">
            <a:off x="631" y="486"/>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7" name="Rectangle 587"/>
          <xdr:cNvSpPr>
            <a:spLocks/>
          </xdr:cNvSpPr>
        </xdr:nvSpPr>
        <xdr:spPr>
          <a:xfrm rot="5400000">
            <a:off x="643" y="476"/>
            <a:ext cx="11" cy="23"/>
          </a:xfrm>
          <a:prstGeom prst="roundRect">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8" name="Oval 588"/>
          <xdr:cNvSpPr>
            <a:spLocks/>
          </xdr:cNvSpPr>
        </xdr:nvSpPr>
        <xdr:spPr>
          <a:xfrm rot="5400000">
            <a:off x="649" y="482"/>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9" name="Oval 589"/>
          <xdr:cNvSpPr>
            <a:spLocks/>
          </xdr:cNvSpPr>
        </xdr:nvSpPr>
        <xdr:spPr>
          <a:xfrm rot="5400000">
            <a:off x="636" y="482"/>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0" name="Oval 590"/>
          <xdr:cNvSpPr>
            <a:spLocks/>
          </xdr:cNvSpPr>
        </xdr:nvSpPr>
        <xdr:spPr>
          <a:xfrm>
            <a:off x="648" y="49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78</a:t>
            </a:r>
          </a:p>
        </xdr:txBody>
      </xdr:sp>
      <xdr:sp>
        <xdr:nvSpPr>
          <xdr:cNvPr id="591" name="Oval 591"/>
          <xdr:cNvSpPr>
            <a:spLocks/>
          </xdr:cNvSpPr>
        </xdr:nvSpPr>
        <xdr:spPr>
          <a:xfrm>
            <a:off x="652" y="472"/>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592" name="Oval 592"/>
          <xdr:cNvSpPr>
            <a:spLocks/>
          </xdr:cNvSpPr>
        </xdr:nvSpPr>
        <xdr:spPr>
          <a:xfrm>
            <a:off x="649" y="469"/>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a:t>
            </a:r>
          </a:p>
        </xdr:txBody>
      </xdr:sp>
    </xdr:grpSp>
    <xdr:clientData/>
  </xdr:twoCellAnchor>
  <xdr:twoCellAnchor editAs="absolute">
    <xdr:from>
      <xdr:col>11</xdr:col>
      <xdr:colOff>0</xdr:colOff>
      <xdr:row>18</xdr:row>
      <xdr:rowOff>114300</xdr:rowOff>
    </xdr:from>
    <xdr:to>
      <xdr:col>13</xdr:col>
      <xdr:colOff>0</xdr:colOff>
      <xdr:row>21</xdr:row>
      <xdr:rowOff>38100</xdr:rowOff>
    </xdr:to>
    <xdr:grpSp>
      <xdr:nvGrpSpPr>
        <xdr:cNvPr id="593" name="Group 593"/>
        <xdr:cNvGrpSpPr>
          <a:grpSpLocks/>
        </xdr:cNvGrpSpPr>
      </xdr:nvGrpSpPr>
      <xdr:grpSpPr>
        <a:xfrm rot="34200000">
          <a:off x="2095500" y="3143250"/>
          <a:ext cx="381000" cy="438150"/>
          <a:chOff x="720" y="516"/>
          <a:chExt cx="40" cy="46"/>
        </a:xfrm>
        <a:solidFill>
          <a:srgbClr val="FFFFFF"/>
        </a:solidFill>
      </xdr:grpSpPr>
      <xdr:sp>
        <xdr:nvSpPr>
          <xdr:cNvPr id="594" name="AutoShape 594"/>
          <xdr:cNvSpPr>
            <a:spLocks/>
          </xdr:cNvSpPr>
        </xdr:nvSpPr>
        <xdr:spPr>
          <a:xfrm rot="3640816">
            <a:off x="720" y="516"/>
            <a:ext cx="40" cy="46"/>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5" name="Line 595"/>
          <xdr:cNvSpPr>
            <a:spLocks/>
          </xdr:cNvSpPr>
        </xdr:nvSpPr>
        <xdr:spPr>
          <a:xfrm>
            <a:off x="740" y="519"/>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6" name="Line 596"/>
          <xdr:cNvSpPr>
            <a:spLocks/>
          </xdr:cNvSpPr>
        </xdr:nvSpPr>
        <xdr:spPr>
          <a:xfrm>
            <a:off x="723" y="529"/>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7" name="Line 597"/>
          <xdr:cNvSpPr>
            <a:spLocks/>
          </xdr:cNvSpPr>
        </xdr:nvSpPr>
        <xdr:spPr>
          <a:xfrm flipV="1">
            <a:off x="723" y="538"/>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8" name="Rectangle 598"/>
          <xdr:cNvSpPr>
            <a:spLocks/>
          </xdr:cNvSpPr>
        </xdr:nvSpPr>
        <xdr:spPr>
          <a:xfrm rot="5400000">
            <a:off x="735" y="528"/>
            <a:ext cx="11" cy="23"/>
          </a:xfrm>
          <a:prstGeom prst="roundRect">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9" name="Oval 599"/>
          <xdr:cNvSpPr>
            <a:spLocks/>
          </xdr:cNvSpPr>
        </xdr:nvSpPr>
        <xdr:spPr>
          <a:xfrm rot="5400000">
            <a:off x="741" y="534"/>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0" name="Oval 600"/>
          <xdr:cNvSpPr>
            <a:spLocks/>
          </xdr:cNvSpPr>
        </xdr:nvSpPr>
        <xdr:spPr>
          <a:xfrm rot="5400000">
            <a:off x="728" y="534"/>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1" name="Oval 601"/>
          <xdr:cNvSpPr>
            <a:spLocks/>
          </xdr:cNvSpPr>
        </xdr:nvSpPr>
        <xdr:spPr>
          <a:xfrm>
            <a:off x="740" y="541"/>
            <a:ext cx="18" cy="19"/>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217</a:t>
            </a:r>
          </a:p>
        </xdr:txBody>
      </xdr:sp>
      <xdr:sp>
        <xdr:nvSpPr>
          <xdr:cNvPr id="602" name="Oval 602"/>
          <xdr:cNvSpPr>
            <a:spLocks/>
          </xdr:cNvSpPr>
        </xdr:nvSpPr>
        <xdr:spPr>
          <a:xfrm>
            <a:off x="744" y="524"/>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603" name="Oval 603"/>
          <xdr:cNvSpPr>
            <a:spLocks/>
          </xdr:cNvSpPr>
        </xdr:nvSpPr>
        <xdr:spPr>
          <a:xfrm>
            <a:off x="741" y="52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a:t>
            </a:r>
          </a:p>
        </xdr:txBody>
      </xdr:sp>
      <xdr:sp>
        <xdr:nvSpPr>
          <xdr:cNvPr id="604" name="Oval 604"/>
          <xdr:cNvSpPr>
            <a:spLocks/>
          </xdr:cNvSpPr>
        </xdr:nvSpPr>
        <xdr:spPr>
          <a:xfrm>
            <a:off x="725" y="543"/>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xx</a:t>
            </a:r>
          </a:p>
        </xdr:txBody>
      </xdr:sp>
    </xdr:grpSp>
    <xdr:clientData/>
  </xdr:twoCellAnchor>
  <xdr:twoCellAnchor editAs="absolute">
    <xdr:from>
      <xdr:col>14</xdr:col>
      <xdr:colOff>9525</xdr:colOff>
      <xdr:row>12</xdr:row>
      <xdr:rowOff>123825</xdr:rowOff>
    </xdr:from>
    <xdr:to>
      <xdr:col>16</xdr:col>
      <xdr:colOff>9525</xdr:colOff>
      <xdr:row>15</xdr:row>
      <xdr:rowOff>47625</xdr:rowOff>
    </xdr:to>
    <xdr:grpSp>
      <xdr:nvGrpSpPr>
        <xdr:cNvPr id="605" name="Group 605"/>
        <xdr:cNvGrpSpPr>
          <a:grpSpLocks/>
        </xdr:cNvGrpSpPr>
      </xdr:nvGrpSpPr>
      <xdr:grpSpPr>
        <a:xfrm rot="12600000">
          <a:off x="2676525" y="2124075"/>
          <a:ext cx="381000" cy="438150"/>
          <a:chOff x="720" y="516"/>
          <a:chExt cx="40" cy="46"/>
        </a:xfrm>
        <a:solidFill>
          <a:srgbClr val="FFFFFF"/>
        </a:solidFill>
      </xdr:grpSpPr>
      <xdr:sp>
        <xdr:nvSpPr>
          <xdr:cNvPr id="606" name="AutoShape 606"/>
          <xdr:cNvSpPr>
            <a:spLocks/>
          </xdr:cNvSpPr>
        </xdr:nvSpPr>
        <xdr:spPr>
          <a:xfrm rot="3640816">
            <a:off x="720" y="516"/>
            <a:ext cx="40" cy="46"/>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7" name="Line 607"/>
          <xdr:cNvSpPr>
            <a:spLocks/>
          </xdr:cNvSpPr>
        </xdr:nvSpPr>
        <xdr:spPr>
          <a:xfrm>
            <a:off x="740" y="519"/>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8" name="Line 608"/>
          <xdr:cNvSpPr>
            <a:spLocks/>
          </xdr:cNvSpPr>
        </xdr:nvSpPr>
        <xdr:spPr>
          <a:xfrm>
            <a:off x="723" y="529"/>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9" name="Line 609"/>
          <xdr:cNvSpPr>
            <a:spLocks/>
          </xdr:cNvSpPr>
        </xdr:nvSpPr>
        <xdr:spPr>
          <a:xfrm flipV="1">
            <a:off x="723" y="538"/>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0" name="Rectangle 610"/>
          <xdr:cNvSpPr>
            <a:spLocks/>
          </xdr:cNvSpPr>
        </xdr:nvSpPr>
        <xdr:spPr>
          <a:xfrm rot="5400000">
            <a:off x="735" y="528"/>
            <a:ext cx="11" cy="23"/>
          </a:xfrm>
          <a:prstGeom prst="roundRect">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1" name="Oval 611"/>
          <xdr:cNvSpPr>
            <a:spLocks/>
          </xdr:cNvSpPr>
        </xdr:nvSpPr>
        <xdr:spPr>
          <a:xfrm rot="5400000">
            <a:off x="741" y="534"/>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2" name="Oval 612"/>
          <xdr:cNvSpPr>
            <a:spLocks/>
          </xdr:cNvSpPr>
        </xdr:nvSpPr>
        <xdr:spPr>
          <a:xfrm rot="5400000">
            <a:off x="728" y="534"/>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3" name="Oval 613"/>
          <xdr:cNvSpPr>
            <a:spLocks/>
          </xdr:cNvSpPr>
        </xdr:nvSpPr>
        <xdr:spPr>
          <a:xfrm>
            <a:off x="740" y="541"/>
            <a:ext cx="18" cy="19"/>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217</a:t>
            </a:r>
          </a:p>
        </xdr:txBody>
      </xdr:sp>
      <xdr:sp>
        <xdr:nvSpPr>
          <xdr:cNvPr id="614" name="Oval 614"/>
          <xdr:cNvSpPr>
            <a:spLocks/>
          </xdr:cNvSpPr>
        </xdr:nvSpPr>
        <xdr:spPr>
          <a:xfrm>
            <a:off x="744" y="524"/>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615" name="Oval 615"/>
          <xdr:cNvSpPr>
            <a:spLocks/>
          </xdr:cNvSpPr>
        </xdr:nvSpPr>
        <xdr:spPr>
          <a:xfrm>
            <a:off x="741" y="52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a:t>
            </a:r>
          </a:p>
        </xdr:txBody>
      </xdr:sp>
      <xdr:sp>
        <xdr:nvSpPr>
          <xdr:cNvPr id="616" name="Oval 616"/>
          <xdr:cNvSpPr>
            <a:spLocks/>
          </xdr:cNvSpPr>
        </xdr:nvSpPr>
        <xdr:spPr>
          <a:xfrm>
            <a:off x="725" y="543"/>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xx</a:t>
            </a:r>
          </a:p>
        </xdr:txBody>
      </xdr:sp>
    </xdr:grpSp>
    <xdr:clientData/>
  </xdr:twoCellAnchor>
  <xdr:twoCellAnchor editAs="absolute">
    <xdr:from>
      <xdr:col>23</xdr:col>
      <xdr:colOff>66675</xdr:colOff>
      <xdr:row>13</xdr:row>
      <xdr:rowOff>114300</xdr:rowOff>
    </xdr:from>
    <xdr:to>
      <xdr:col>25</xdr:col>
      <xdr:colOff>142875</xdr:colOff>
      <xdr:row>16</xdr:row>
      <xdr:rowOff>0</xdr:rowOff>
    </xdr:to>
    <xdr:grpSp>
      <xdr:nvGrpSpPr>
        <xdr:cNvPr id="617" name="Group 617"/>
        <xdr:cNvGrpSpPr>
          <a:grpSpLocks/>
        </xdr:cNvGrpSpPr>
      </xdr:nvGrpSpPr>
      <xdr:grpSpPr>
        <a:xfrm rot="16200000">
          <a:off x="4448175" y="2286000"/>
          <a:ext cx="457200" cy="400050"/>
          <a:chOff x="753" y="533"/>
          <a:chExt cx="42" cy="48"/>
        </a:xfrm>
        <a:solidFill>
          <a:srgbClr val="FFFFFF"/>
        </a:solidFill>
      </xdr:grpSpPr>
      <xdr:sp>
        <xdr:nvSpPr>
          <xdr:cNvPr id="618" name="AutoShape 618"/>
          <xdr:cNvSpPr>
            <a:spLocks/>
          </xdr:cNvSpPr>
        </xdr:nvSpPr>
        <xdr:spPr>
          <a:xfrm rot="3640816">
            <a:off x="753" y="533"/>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9" name="Line 619"/>
          <xdr:cNvSpPr>
            <a:spLocks/>
          </xdr:cNvSpPr>
        </xdr:nvSpPr>
        <xdr:spPr>
          <a:xfrm>
            <a:off x="756" y="546"/>
            <a:ext cx="34" cy="2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0" name="Oval 620"/>
          <xdr:cNvSpPr>
            <a:spLocks/>
          </xdr:cNvSpPr>
        </xdr:nvSpPr>
        <xdr:spPr>
          <a:xfrm>
            <a:off x="759" y="546"/>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1" name="Arc 621"/>
          <xdr:cNvSpPr>
            <a:spLocks/>
          </xdr:cNvSpPr>
        </xdr:nvSpPr>
        <xdr:spPr>
          <a:xfrm rot="19306582">
            <a:off x="754" y="562"/>
            <a:ext cx="17" cy="19"/>
          </a:xfrm>
          <a:prstGeom prst="arc">
            <a:avLst>
              <a:gd name="adj1" fmla="val -20069518"/>
              <a:gd name="adj2" fmla="val 10323888"/>
              <a:gd name="adj3" fmla="val 41342"/>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2" name="Oval 622"/>
          <xdr:cNvSpPr>
            <a:spLocks/>
          </xdr:cNvSpPr>
        </xdr:nvSpPr>
        <xdr:spPr>
          <a:xfrm>
            <a:off x="762" y="560"/>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3" name="Oval 623"/>
          <xdr:cNvSpPr>
            <a:spLocks/>
          </xdr:cNvSpPr>
        </xdr:nvSpPr>
        <xdr:spPr>
          <a:xfrm>
            <a:off x="765" y="535"/>
            <a:ext cx="20" cy="18"/>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210</a:t>
            </a:r>
          </a:p>
        </xdr:txBody>
      </xdr:sp>
      <xdr:sp>
        <xdr:nvSpPr>
          <xdr:cNvPr id="624" name="Oval 624"/>
          <xdr:cNvSpPr>
            <a:spLocks/>
          </xdr:cNvSpPr>
        </xdr:nvSpPr>
        <xdr:spPr>
          <a:xfrm>
            <a:off x="774" y="563"/>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625" name="Oval 625"/>
          <xdr:cNvSpPr>
            <a:spLocks/>
          </xdr:cNvSpPr>
        </xdr:nvSpPr>
        <xdr:spPr>
          <a:xfrm>
            <a:off x="772" y="560"/>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3</a:t>
            </a:r>
          </a:p>
        </xdr:txBody>
      </xdr:sp>
      <xdr:sp>
        <xdr:nvSpPr>
          <xdr:cNvPr id="626" name="Oval 626"/>
          <xdr:cNvSpPr>
            <a:spLocks/>
          </xdr:cNvSpPr>
        </xdr:nvSpPr>
        <xdr:spPr>
          <a:xfrm>
            <a:off x="780" y="547"/>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xx</a:t>
            </a:r>
          </a:p>
        </xdr:txBody>
      </xdr:sp>
    </xdr:grpSp>
    <xdr:clientData/>
  </xdr:twoCellAnchor>
  <xdr:twoCellAnchor editAs="absolute">
    <xdr:from>
      <xdr:col>13</xdr:col>
      <xdr:colOff>180975</xdr:colOff>
      <xdr:row>8</xdr:row>
      <xdr:rowOff>123825</xdr:rowOff>
    </xdr:from>
    <xdr:to>
      <xdr:col>16</xdr:col>
      <xdr:colOff>0</xdr:colOff>
      <xdr:row>11</xdr:row>
      <xdr:rowOff>85725</xdr:rowOff>
    </xdr:to>
    <xdr:grpSp>
      <xdr:nvGrpSpPr>
        <xdr:cNvPr id="627" name="Group 627"/>
        <xdr:cNvGrpSpPr>
          <a:grpSpLocks/>
        </xdr:cNvGrpSpPr>
      </xdr:nvGrpSpPr>
      <xdr:grpSpPr>
        <a:xfrm rot="23400000">
          <a:off x="2657475" y="1438275"/>
          <a:ext cx="390525" cy="476250"/>
          <a:chOff x="749" y="526"/>
          <a:chExt cx="41" cy="50"/>
        </a:xfrm>
        <a:solidFill>
          <a:srgbClr val="FFFFFF"/>
        </a:solidFill>
      </xdr:grpSpPr>
      <xdr:sp>
        <xdr:nvSpPr>
          <xdr:cNvPr id="628" name="AutoShape 628"/>
          <xdr:cNvSpPr>
            <a:spLocks/>
          </xdr:cNvSpPr>
        </xdr:nvSpPr>
        <xdr:spPr>
          <a:xfrm rot="3640816">
            <a:off x="750" y="528"/>
            <a:ext cx="40" cy="46"/>
          </a:xfrm>
          <a:prstGeom prst="hexagon">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9" name="Arc 629"/>
          <xdr:cNvSpPr>
            <a:spLocks/>
          </xdr:cNvSpPr>
        </xdr:nvSpPr>
        <xdr:spPr>
          <a:xfrm rot="19306582">
            <a:off x="751" y="557"/>
            <a:ext cx="17" cy="19"/>
          </a:xfrm>
          <a:prstGeom prst="arc">
            <a:avLst>
              <a:gd name="adj1" fmla="val -20069518"/>
              <a:gd name="adj2" fmla="val 10323888"/>
              <a:gd name="adj3" fmla="val 41342"/>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0" name="Oval 630"/>
          <xdr:cNvSpPr>
            <a:spLocks/>
          </xdr:cNvSpPr>
        </xdr:nvSpPr>
        <xdr:spPr>
          <a:xfrm>
            <a:off x="759" y="556"/>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1" name="Arc 631"/>
          <xdr:cNvSpPr>
            <a:spLocks/>
          </xdr:cNvSpPr>
        </xdr:nvSpPr>
        <xdr:spPr>
          <a:xfrm rot="2293417" flipV="1">
            <a:off x="751" y="526"/>
            <a:ext cx="17" cy="19"/>
          </a:xfrm>
          <a:prstGeom prst="arc">
            <a:avLst>
              <a:gd name="adj1" fmla="val -20069518"/>
              <a:gd name="adj2" fmla="val 10323888"/>
              <a:gd name="adj3" fmla="val 41342"/>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2" name="Oval 632"/>
          <xdr:cNvSpPr>
            <a:spLocks/>
          </xdr:cNvSpPr>
        </xdr:nvSpPr>
        <xdr:spPr>
          <a:xfrm>
            <a:off x="759" y="535"/>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3" name="Oval 633"/>
          <xdr:cNvSpPr>
            <a:spLocks/>
          </xdr:cNvSpPr>
        </xdr:nvSpPr>
        <xdr:spPr>
          <a:xfrm>
            <a:off x="769" y="535"/>
            <a:ext cx="20" cy="22"/>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211</a:t>
            </a:r>
          </a:p>
        </xdr:txBody>
      </xdr:sp>
      <xdr:grpSp>
        <xdr:nvGrpSpPr>
          <xdr:cNvPr id="634" name="Group 634"/>
          <xdr:cNvGrpSpPr>
            <a:grpSpLocks/>
          </xdr:cNvGrpSpPr>
        </xdr:nvGrpSpPr>
        <xdr:grpSpPr>
          <a:xfrm>
            <a:off x="749" y="543"/>
            <a:ext cx="15" cy="15"/>
            <a:chOff x="679" y="72"/>
            <a:chExt cx="15" cy="15"/>
          </a:xfrm>
          <a:solidFill>
            <a:srgbClr val="FFFFFF"/>
          </a:solidFill>
        </xdr:grpSpPr>
        <xdr:sp>
          <xdr:nvSpPr>
            <xdr:cNvPr id="635" name="Oval 635"/>
            <xdr:cNvSpPr>
              <a:spLocks/>
            </xdr:cNvSpPr>
          </xdr:nvSpPr>
          <xdr:spPr>
            <a:xfrm>
              <a:off x="681" y="75"/>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636" name="Oval 636"/>
            <xdr:cNvSpPr>
              <a:spLocks/>
            </xdr:cNvSpPr>
          </xdr:nvSpPr>
          <xdr:spPr>
            <a:xfrm>
              <a:off x="679" y="72"/>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3</a:t>
              </a:r>
            </a:p>
          </xdr:txBody>
        </xdr:sp>
      </xdr:grpSp>
      <xdr:sp>
        <xdr:nvSpPr>
          <xdr:cNvPr id="637" name="Oval 637"/>
          <xdr:cNvSpPr>
            <a:spLocks/>
          </xdr:cNvSpPr>
        </xdr:nvSpPr>
        <xdr:spPr>
          <a:xfrm>
            <a:off x="769" y="553"/>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xx</a:t>
            </a:r>
          </a:p>
        </xdr:txBody>
      </xdr:sp>
    </xdr:grpSp>
    <xdr:clientData/>
  </xdr:twoCellAnchor>
  <xdr:twoCellAnchor editAs="absolute">
    <xdr:from>
      <xdr:col>8</xdr:col>
      <xdr:colOff>171450</xdr:colOff>
      <xdr:row>10</xdr:row>
      <xdr:rowOff>114300</xdr:rowOff>
    </xdr:from>
    <xdr:to>
      <xdr:col>11</xdr:col>
      <xdr:colOff>38100</xdr:colOff>
      <xdr:row>13</xdr:row>
      <xdr:rowOff>19050</xdr:rowOff>
    </xdr:to>
    <xdr:grpSp>
      <xdr:nvGrpSpPr>
        <xdr:cNvPr id="638" name="Group 638"/>
        <xdr:cNvGrpSpPr>
          <a:grpSpLocks/>
        </xdr:cNvGrpSpPr>
      </xdr:nvGrpSpPr>
      <xdr:grpSpPr>
        <a:xfrm rot="5400000">
          <a:off x="1695450" y="1771650"/>
          <a:ext cx="438150" cy="419100"/>
          <a:chOff x="732" y="481"/>
          <a:chExt cx="44" cy="46"/>
        </a:xfrm>
        <a:solidFill>
          <a:srgbClr val="FFFFFF"/>
        </a:solidFill>
      </xdr:grpSpPr>
      <xdr:grpSp>
        <xdr:nvGrpSpPr>
          <xdr:cNvPr id="639" name="Group 639"/>
          <xdr:cNvGrpSpPr>
            <a:grpSpLocks/>
          </xdr:cNvGrpSpPr>
        </xdr:nvGrpSpPr>
        <xdr:grpSpPr>
          <a:xfrm>
            <a:off x="736" y="481"/>
            <a:ext cx="40" cy="46"/>
            <a:chOff x="623" y="214"/>
            <a:chExt cx="40" cy="46"/>
          </a:xfrm>
          <a:solidFill>
            <a:srgbClr val="FFFFFF"/>
          </a:solidFill>
        </xdr:grpSpPr>
        <xdr:sp>
          <xdr:nvSpPr>
            <xdr:cNvPr id="640" name="AutoShape 640"/>
            <xdr:cNvSpPr>
              <a:spLocks/>
            </xdr:cNvSpPr>
          </xdr:nvSpPr>
          <xdr:spPr>
            <a:xfrm rot="3640816">
              <a:off x="623" y="214"/>
              <a:ext cx="40" cy="46"/>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1" name="Line 641"/>
            <xdr:cNvSpPr>
              <a:spLocks/>
            </xdr:cNvSpPr>
          </xdr:nvSpPr>
          <xdr:spPr>
            <a:xfrm>
              <a:off x="643" y="217"/>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2" name="Line 642"/>
            <xdr:cNvSpPr>
              <a:spLocks/>
            </xdr:cNvSpPr>
          </xdr:nvSpPr>
          <xdr:spPr>
            <a:xfrm>
              <a:off x="626" y="227"/>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3" name="Line 643"/>
            <xdr:cNvSpPr>
              <a:spLocks/>
            </xdr:cNvSpPr>
          </xdr:nvSpPr>
          <xdr:spPr>
            <a:xfrm flipV="1">
              <a:off x="626" y="236"/>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644" name="Group 644"/>
            <xdr:cNvGrpSpPr>
              <a:grpSpLocks/>
            </xdr:cNvGrpSpPr>
          </xdr:nvGrpSpPr>
          <xdr:grpSpPr>
            <a:xfrm>
              <a:off x="632" y="225"/>
              <a:ext cx="22" cy="24"/>
              <a:chOff x="629" y="295"/>
              <a:chExt cx="22" cy="24"/>
            </a:xfrm>
            <a:solidFill>
              <a:srgbClr val="FFFFFF"/>
            </a:solidFill>
          </xdr:grpSpPr>
          <xdr:sp>
            <xdr:nvSpPr>
              <xdr:cNvPr id="645" name="Polygon 645"/>
              <xdr:cNvSpPr>
                <a:spLocks/>
              </xdr:cNvSpPr>
            </xdr:nvSpPr>
            <xdr:spPr>
              <a:xfrm>
                <a:off x="629" y="296"/>
                <a:ext cx="19" cy="22"/>
              </a:xfrm>
              <a:custGeom>
                <a:pathLst>
                  <a:path h="23" w="20">
                    <a:moveTo>
                      <a:pt x="0" y="18"/>
                    </a:moveTo>
                    <a:lnTo>
                      <a:pt x="0" y="5"/>
                    </a:lnTo>
                    <a:lnTo>
                      <a:pt x="8" y="0"/>
                    </a:lnTo>
                    <a:lnTo>
                      <a:pt x="20" y="7"/>
                    </a:lnTo>
                    <a:lnTo>
                      <a:pt x="20" y="16"/>
                    </a:lnTo>
                    <a:lnTo>
                      <a:pt x="9" y="23"/>
                    </a:lnTo>
                    <a:lnTo>
                      <a:pt x="0" y="18"/>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6" name="Oval 646"/>
              <xdr:cNvSpPr>
                <a:spLocks/>
              </xdr:cNvSpPr>
            </xdr:nvSpPr>
            <xdr:spPr>
              <a:xfrm>
                <a:off x="640" y="301"/>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7" name="Oval 647"/>
              <xdr:cNvSpPr>
                <a:spLocks/>
              </xdr:cNvSpPr>
            </xdr:nvSpPr>
            <xdr:spPr>
              <a:xfrm>
                <a:off x="629" y="295"/>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8" name="Oval 648"/>
              <xdr:cNvSpPr>
                <a:spLocks/>
              </xdr:cNvSpPr>
            </xdr:nvSpPr>
            <xdr:spPr>
              <a:xfrm>
                <a:off x="629" y="308"/>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nvGrpSpPr>
          <xdr:cNvPr id="649" name="Group 649"/>
          <xdr:cNvGrpSpPr>
            <a:grpSpLocks/>
          </xdr:cNvGrpSpPr>
        </xdr:nvGrpSpPr>
        <xdr:grpSpPr>
          <a:xfrm>
            <a:off x="732" y="497"/>
            <a:ext cx="15" cy="15"/>
            <a:chOff x="694" y="88"/>
            <a:chExt cx="15" cy="15"/>
          </a:xfrm>
          <a:solidFill>
            <a:srgbClr val="FFFFFF"/>
          </a:solidFill>
        </xdr:grpSpPr>
        <xdr:sp>
          <xdr:nvSpPr>
            <xdr:cNvPr id="650" name="Oval 650"/>
            <xdr:cNvSpPr>
              <a:spLocks/>
            </xdr:cNvSpPr>
          </xdr:nvSpPr>
          <xdr:spPr>
            <a:xfrm>
              <a:off x="697" y="91"/>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651" name="Oval 651"/>
            <xdr:cNvSpPr>
              <a:spLocks/>
            </xdr:cNvSpPr>
          </xdr:nvSpPr>
          <xdr:spPr>
            <a:xfrm>
              <a:off x="694" y="88"/>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a:t>
              </a:r>
            </a:p>
          </xdr:txBody>
        </xdr:sp>
      </xdr:grpSp>
      <xdr:sp>
        <xdr:nvSpPr>
          <xdr:cNvPr id="652" name="Oval 652"/>
          <xdr:cNvSpPr>
            <a:spLocks/>
          </xdr:cNvSpPr>
        </xdr:nvSpPr>
        <xdr:spPr>
          <a:xfrm>
            <a:off x="755" y="509"/>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西</a:t>
            </a:r>
          </a:p>
        </xdr:txBody>
      </xdr:sp>
      <xdr:sp>
        <xdr:nvSpPr>
          <xdr:cNvPr id="653" name="Oval 653"/>
          <xdr:cNvSpPr>
            <a:spLocks/>
          </xdr:cNvSpPr>
        </xdr:nvSpPr>
        <xdr:spPr>
          <a:xfrm>
            <a:off x="757" y="483"/>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特</a:t>
            </a:r>
          </a:p>
        </xdr:txBody>
      </xdr:sp>
    </xdr:grpSp>
    <xdr:clientData/>
  </xdr:twoCellAnchor>
  <xdr:twoCellAnchor editAs="absolute">
    <xdr:from>
      <xdr:col>4</xdr:col>
      <xdr:colOff>161925</xdr:colOff>
      <xdr:row>10</xdr:row>
      <xdr:rowOff>114300</xdr:rowOff>
    </xdr:from>
    <xdr:to>
      <xdr:col>7</xdr:col>
      <xdr:colOff>28575</xdr:colOff>
      <xdr:row>13</xdr:row>
      <xdr:rowOff>19050</xdr:rowOff>
    </xdr:to>
    <xdr:grpSp>
      <xdr:nvGrpSpPr>
        <xdr:cNvPr id="654" name="Group 654"/>
        <xdr:cNvGrpSpPr>
          <a:grpSpLocks/>
        </xdr:cNvGrpSpPr>
      </xdr:nvGrpSpPr>
      <xdr:grpSpPr>
        <a:xfrm rot="5400000">
          <a:off x="923925" y="1771650"/>
          <a:ext cx="438150" cy="419100"/>
          <a:chOff x="743" y="490"/>
          <a:chExt cx="44" cy="46"/>
        </a:xfrm>
        <a:solidFill>
          <a:srgbClr val="FFFFFF"/>
        </a:solidFill>
      </xdr:grpSpPr>
      <xdr:grpSp>
        <xdr:nvGrpSpPr>
          <xdr:cNvPr id="655" name="Group 655"/>
          <xdr:cNvGrpSpPr>
            <a:grpSpLocks/>
          </xdr:cNvGrpSpPr>
        </xdr:nvGrpSpPr>
        <xdr:grpSpPr>
          <a:xfrm>
            <a:off x="747" y="490"/>
            <a:ext cx="40" cy="46"/>
            <a:chOff x="634" y="249"/>
            <a:chExt cx="40" cy="46"/>
          </a:xfrm>
          <a:solidFill>
            <a:srgbClr val="FFFFFF"/>
          </a:solidFill>
        </xdr:grpSpPr>
        <xdr:sp>
          <xdr:nvSpPr>
            <xdr:cNvPr id="656" name="AutoShape 656"/>
            <xdr:cNvSpPr>
              <a:spLocks/>
            </xdr:cNvSpPr>
          </xdr:nvSpPr>
          <xdr:spPr>
            <a:xfrm rot="17959183" flipH="1">
              <a:off x="634" y="249"/>
              <a:ext cx="40" cy="46"/>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7" name="Line 657"/>
            <xdr:cNvSpPr>
              <a:spLocks/>
            </xdr:cNvSpPr>
          </xdr:nvSpPr>
          <xdr:spPr>
            <a:xfrm>
              <a:off x="654" y="252"/>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8" name="Line 658"/>
            <xdr:cNvSpPr>
              <a:spLocks/>
            </xdr:cNvSpPr>
          </xdr:nvSpPr>
          <xdr:spPr>
            <a:xfrm flipH="1">
              <a:off x="636" y="271"/>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659" name="Group 659"/>
            <xdr:cNvGrpSpPr>
              <a:grpSpLocks/>
            </xdr:cNvGrpSpPr>
          </xdr:nvGrpSpPr>
          <xdr:grpSpPr>
            <a:xfrm flipH="1">
              <a:off x="643" y="260"/>
              <a:ext cx="22" cy="24"/>
              <a:chOff x="629" y="295"/>
              <a:chExt cx="22" cy="24"/>
            </a:xfrm>
            <a:solidFill>
              <a:srgbClr val="FFFFFF"/>
            </a:solidFill>
          </xdr:grpSpPr>
          <xdr:sp>
            <xdr:nvSpPr>
              <xdr:cNvPr id="660" name="Polygon 660"/>
              <xdr:cNvSpPr>
                <a:spLocks/>
              </xdr:cNvSpPr>
            </xdr:nvSpPr>
            <xdr:spPr>
              <a:xfrm>
                <a:off x="629" y="296"/>
                <a:ext cx="19" cy="22"/>
              </a:xfrm>
              <a:custGeom>
                <a:pathLst>
                  <a:path h="23" w="20">
                    <a:moveTo>
                      <a:pt x="0" y="18"/>
                    </a:moveTo>
                    <a:lnTo>
                      <a:pt x="0" y="5"/>
                    </a:lnTo>
                    <a:lnTo>
                      <a:pt x="8" y="0"/>
                    </a:lnTo>
                    <a:lnTo>
                      <a:pt x="20" y="7"/>
                    </a:lnTo>
                    <a:lnTo>
                      <a:pt x="20" y="16"/>
                    </a:lnTo>
                    <a:lnTo>
                      <a:pt x="9" y="23"/>
                    </a:lnTo>
                    <a:lnTo>
                      <a:pt x="0" y="18"/>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1" name="Oval 661"/>
              <xdr:cNvSpPr>
                <a:spLocks/>
              </xdr:cNvSpPr>
            </xdr:nvSpPr>
            <xdr:spPr>
              <a:xfrm>
                <a:off x="640" y="301"/>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2" name="Oval 662"/>
              <xdr:cNvSpPr>
                <a:spLocks/>
              </xdr:cNvSpPr>
            </xdr:nvSpPr>
            <xdr:spPr>
              <a:xfrm>
                <a:off x="629" y="295"/>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3" name="Oval 663"/>
              <xdr:cNvSpPr>
                <a:spLocks/>
              </xdr:cNvSpPr>
            </xdr:nvSpPr>
            <xdr:spPr>
              <a:xfrm>
                <a:off x="629" y="308"/>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664" name="Oval 664"/>
          <xdr:cNvSpPr>
            <a:spLocks/>
          </xdr:cNvSpPr>
        </xdr:nvSpPr>
        <xdr:spPr>
          <a:xfrm>
            <a:off x="752" y="518"/>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神</a:t>
            </a:r>
          </a:p>
        </xdr:txBody>
      </xdr:sp>
      <xdr:sp>
        <xdr:nvSpPr>
          <xdr:cNvPr id="665" name="Oval 665"/>
          <xdr:cNvSpPr>
            <a:spLocks/>
          </xdr:cNvSpPr>
        </xdr:nvSpPr>
        <xdr:spPr>
          <a:xfrm>
            <a:off x="751" y="492"/>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特</a:t>
            </a:r>
          </a:p>
        </xdr:txBody>
      </xdr:sp>
      <xdr:grpSp>
        <xdr:nvGrpSpPr>
          <xdr:cNvPr id="666" name="Group 666"/>
          <xdr:cNvGrpSpPr>
            <a:grpSpLocks/>
          </xdr:cNvGrpSpPr>
        </xdr:nvGrpSpPr>
        <xdr:grpSpPr>
          <a:xfrm>
            <a:off x="743" y="505"/>
            <a:ext cx="15" cy="15"/>
            <a:chOff x="726" y="120"/>
            <a:chExt cx="15" cy="15"/>
          </a:xfrm>
          <a:solidFill>
            <a:srgbClr val="FFFFFF"/>
          </a:solidFill>
        </xdr:grpSpPr>
        <xdr:sp>
          <xdr:nvSpPr>
            <xdr:cNvPr id="667" name="Oval 667"/>
            <xdr:cNvSpPr>
              <a:spLocks/>
            </xdr:cNvSpPr>
          </xdr:nvSpPr>
          <xdr:spPr>
            <a:xfrm>
              <a:off x="729" y="123"/>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668" name="Oval 668"/>
            <xdr:cNvSpPr>
              <a:spLocks/>
            </xdr:cNvSpPr>
          </xdr:nvSpPr>
          <xdr:spPr>
            <a:xfrm>
              <a:off x="726" y="120"/>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6</a:t>
              </a:r>
            </a:p>
          </xdr:txBody>
        </xdr:sp>
      </xdr:grpSp>
    </xdr:grpSp>
    <xdr:clientData/>
  </xdr:twoCellAnchor>
  <xdr:twoCellAnchor editAs="absolute">
    <xdr:from>
      <xdr:col>33</xdr:col>
      <xdr:colOff>161925</xdr:colOff>
      <xdr:row>27</xdr:row>
      <xdr:rowOff>19050</xdr:rowOff>
    </xdr:from>
    <xdr:to>
      <xdr:col>35</xdr:col>
      <xdr:colOff>161925</xdr:colOff>
      <xdr:row>29</xdr:row>
      <xdr:rowOff>114300</xdr:rowOff>
    </xdr:to>
    <xdr:grpSp>
      <xdr:nvGrpSpPr>
        <xdr:cNvPr id="669" name="Group 669"/>
        <xdr:cNvGrpSpPr>
          <a:grpSpLocks/>
        </xdr:cNvGrpSpPr>
      </xdr:nvGrpSpPr>
      <xdr:grpSpPr>
        <a:xfrm rot="12600000">
          <a:off x="6448425" y="4591050"/>
          <a:ext cx="381000" cy="438150"/>
          <a:chOff x="743" y="442"/>
          <a:chExt cx="40" cy="46"/>
        </a:xfrm>
        <a:solidFill>
          <a:srgbClr val="FFFFFF"/>
        </a:solidFill>
      </xdr:grpSpPr>
      <xdr:sp>
        <xdr:nvSpPr>
          <xdr:cNvPr id="670" name="AutoShape 670"/>
          <xdr:cNvSpPr>
            <a:spLocks/>
          </xdr:cNvSpPr>
        </xdr:nvSpPr>
        <xdr:spPr>
          <a:xfrm rot="3640816">
            <a:off x="743" y="442"/>
            <a:ext cx="40" cy="46"/>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1" name="Line 671"/>
          <xdr:cNvSpPr>
            <a:spLocks/>
          </xdr:cNvSpPr>
        </xdr:nvSpPr>
        <xdr:spPr>
          <a:xfrm>
            <a:off x="763" y="445"/>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2" name="Line 672"/>
          <xdr:cNvSpPr>
            <a:spLocks/>
          </xdr:cNvSpPr>
        </xdr:nvSpPr>
        <xdr:spPr>
          <a:xfrm>
            <a:off x="746" y="455"/>
            <a:ext cx="33" cy="2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3" name="Line 673"/>
          <xdr:cNvSpPr>
            <a:spLocks/>
          </xdr:cNvSpPr>
        </xdr:nvSpPr>
        <xdr:spPr>
          <a:xfrm flipV="1">
            <a:off x="746" y="465"/>
            <a:ext cx="17" cy="1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4" name="Oval 674"/>
          <xdr:cNvSpPr>
            <a:spLocks/>
          </xdr:cNvSpPr>
        </xdr:nvSpPr>
        <xdr:spPr>
          <a:xfrm>
            <a:off x="763" y="444"/>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特</a:t>
            </a:r>
          </a:p>
        </xdr:txBody>
      </xdr:sp>
      <xdr:sp>
        <xdr:nvSpPr>
          <xdr:cNvPr id="675" name="Oval 675"/>
          <xdr:cNvSpPr>
            <a:spLocks/>
          </xdr:cNvSpPr>
        </xdr:nvSpPr>
        <xdr:spPr>
          <a:xfrm>
            <a:off x="763" y="470"/>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南</a:t>
            </a:r>
          </a:p>
        </xdr:txBody>
      </xdr:sp>
      <xdr:grpSp>
        <xdr:nvGrpSpPr>
          <xdr:cNvPr id="676" name="Group 676"/>
          <xdr:cNvGrpSpPr>
            <a:grpSpLocks/>
          </xdr:cNvGrpSpPr>
        </xdr:nvGrpSpPr>
        <xdr:grpSpPr>
          <a:xfrm>
            <a:off x="749" y="443"/>
            <a:ext cx="15" cy="15"/>
            <a:chOff x="711" y="103"/>
            <a:chExt cx="15" cy="15"/>
          </a:xfrm>
          <a:solidFill>
            <a:srgbClr val="FFFFFF"/>
          </a:solidFill>
        </xdr:grpSpPr>
        <xdr:sp>
          <xdr:nvSpPr>
            <xdr:cNvPr id="677" name="Oval 677"/>
            <xdr:cNvSpPr>
              <a:spLocks/>
            </xdr:cNvSpPr>
          </xdr:nvSpPr>
          <xdr:spPr>
            <a:xfrm>
              <a:off x="713" y="107"/>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678" name="Oval 678"/>
            <xdr:cNvSpPr>
              <a:spLocks/>
            </xdr:cNvSpPr>
          </xdr:nvSpPr>
          <xdr:spPr>
            <a:xfrm>
              <a:off x="711" y="103"/>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5</a:t>
              </a:r>
            </a:p>
          </xdr:txBody>
        </xdr:sp>
      </xdr:grpSp>
      <xdr:grpSp>
        <xdr:nvGrpSpPr>
          <xdr:cNvPr id="679" name="Group 679"/>
          <xdr:cNvGrpSpPr>
            <a:grpSpLocks/>
          </xdr:cNvGrpSpPr>
        </xdr:nvGrpSpPr>
        <xdr:grpSpPr>
          <a:xfrm rot="5400000">
            <a:off x="757" y="454"/>
            <a:ext cx="11" cy="24"/>
            <a:chOff x="237" y="169"/>
            <a:chExt cx="11" cy="24"/>
          </a:xfrm>
          <a:solidFill>
            <a:srgbClr val="FFFFFF"/>
          </a:solidFill>
        </xdr:grpSpPr>
        <xdr:sp>
          <xdr:nvSpPr>
            <xdr:cNvPr id="680" name="Rectangle 680"/>
            <xdr:cNvSpPr>
              <a:spLocks/>
            </xdr:cNvSpPr>
          </xdr:nvSpPr>
          <xdr:spPr>
            <a:xfrm>
              <a:off x="237" y="169"/>
              <a:ext cx="11" cy="23"/>
            </a:xfrm>
            <a:prstGeom prst="roundRect">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1" name="Oval 681"/>
            <xdr:cNvSpPr>
              <a:spLocks/>
            </xdr:cNvSpPr>
          </xdr:nvSpPr>
          <xdr:spPr>
            <a:xfrm>
              <a:off x="237" y="169"/>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2" name="Oval 682"/>
            <xdr:cNvSpPr>
              <a:spLocks/>
            </xdr:cNvSpPr>
          </xdr:nvSpPr>
          <xdr:spPr>
            <a:xfrm>
              <a:off x="237" y="182"/>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editAs="absolute">
    <xdr:from>
      <xdr:col>11</xdr:col>
      <xdr:colOff>0</xdr:colOff>
      <xdr:row>10</xdr:row>
      <xdr:rowOff>133350</xdr:rowOff>
    </xdr:from>
    <xdr:to>
      <xdr:col>13</xdr:col>
      <xdr:colOff>0</xdr:colOff>
      <xdr:row>13</xdr:row>
      <xdr:rowOff>57150</xdr:rowOff>
    </xdr:to>
    <xdr:grpSp>
      <xdr:nvGrpSpPr>
        <xdr:cNvPr id="683" name="Group 683"/>
        <xdr:cNvGrpSpPr>
          <a:grpSpLocks/>
        </xdr:cNvGrpSpPr>
      </xdr:nvGrpSpPr>
      <xdr:grpSpPr>
        <a:xfrm rot="9000000">
          <a:off x="2095500" y="1790700"/>
          <a:ext cx="381000" cy="438150"/>
          <a:chOff x="743" y="442"/>
          <a:chExt cx="40" cy="46"/>
        </a:xfrm>
        <a:solidFill>
          <a:srgbClr val="FFFFFF"/>
        </a:solidFill>
      </xdr:grpSpPr>
      <xdr:sp>
        <xdr:nvSpPr>
          <xdr:cNvPr id="684" name="AutoShape 684"/>
          <xdr:cNvSpPr>
            <a:spLocks/>
          </xdr:cNvSpPr>
        </xdr:nvSpPr>
        <xdr:spPr>
          <a:xfrm rot="3640816">
            <a:off x="743" y="442"/>
            <a:ext cx="40" cy="46"/>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5" name="Line 685"/>
          <xdr:cNvSpPr>
            <a:spLocks/>
          </xdr:cNvSpPr>
        </xdr:nvSpPr>
        <xdr:spPr>
          <a:xfrm>
            <a:off x="763" y="445"/>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6" name="Line 686"/>
          <xdr:cNvSpPr>
            <a:spLocks/>
          </xdr:cNvSpPr>
        </xdr:nvSpPr>
        <xdr:spPr>
          <a:xfrm>
            <a:off x="746" y="455"/>
            <a:ext cx="33" cy="2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7" name="Line 687"/>
          <xdr:cNvSpPr>
            <a:spLocks/>
          </xdr:cNvSpPr>
        </xdr:nvSpPr>
        <xdr:spPr>
          <a:xfrm flipV="1">
            <a:off x="746" y="465"/>
            <a:ext cx="17" cy="1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8" name="Oval 688"/>
          <xdr:cNvSpPr>
            <a:spLocks/>
          </xdr:cNvSpPr>
        </xdr:nvSpPr>
        <xdr:spPr>
          <a:xfrm>
            <a:off x="763" y="444"/>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特</a:t>
            </a:r>
          </a:p>
        </xdr:txBody>
      </xdr:sp>
      <xdr:sp>
        <xdr:nvSpPr>
          <xdr:cNvPr id="689" name="Oval 689"/>
          <xdr:cNvSpPr>
            <a:spLocks/>
          </xdr:cNvSpPr>
        </xdr:nvSpPr>
        <xdr:spPr>
          <a:xfrm>
            <a:off x="763" y="470"/>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南</a:t>
            </a:r>
          </a:p>
        </xdr:txBody>
      </xdr:sp>
      <xdr:grpSp>
        <xdr:nvGrpSpPr>
          <xdr:cNvPr id="690" name="Group 690"/>
          <xdr:cNvGrpSpPr>
            <a:grpSpLocks/>
          </xdr:cNvGrpSpPr>
        </xdr:nvGrpSpPr>
        <xdr:grpSpPr>
          <a:xfrm>
            <a:off x="749" y="443"/>
            <a:ext cx="15" cy="15"/>
            <a:chOff x="711" y="103"/>
            <a:chExt cx="15" cy="15"/>
          </a:xfrm>
          <a:solidFill>
            <a:srgbClr val="FFFFFF"/>
          </a:solidFill>
        </xdr:grpSpPr>
        <xdr:sp>
          <xdr:nvSpPr>
            <xdr:cNvPr id="691" name="Oval 691"/>
            <xdr:cNvSpPr>
              <a:spLocks/>
            </xdr:cNvSpPr>
          </xdr:nvSpPr>
          <xdr:spPr>
            <a:xfrm>
              <a:off x="713" y="107"/>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692" name="Oval 692"/>
            <xdr:cNvSpPr>
              <a:spLocks/>
            </xdr:cNvSpPr>
          </xdr:nvSpPr>
          <xdr:spPr>
            <a:xfrm>
              <a:off x="711" y="103"/>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5</a:t>
              </a:r>
            </a:p>
          </xdr:txBody>
        </xdr:sp>
      </xdr:grpSp>
      <xdr:grpSp>
        <xdr:nvGrpSpPr>
          <xdr:cNvPr id="693" name="Group 693"/>
          <xdr:cNvGrpSpPr>
            <a:grpSpLocks/>
          </xdr:cNvGrpSpPr>
        </xdr:nvGrpSpPr>
        <xdr:grpSpPr>
          <a:xfrm rot="5400000">
            <a:off x="757" y="454"/>
            <a:ext cx="11" cy="24"/>
            <a:chOff x="237" y="169"/>
            <a:chExt cx="11" cy="24"/>
          </a:xfrm>
          <a:solidFill>
            <a:srgbClr val="FFFFFF"/>
          </a:solidFill>
        </xdr:grpSpPr>
        <xdr:sp>
          <xdr:nvSpPr>
            <xdr:cNvPr id="694" name="Rectangle 694"/>
            <xdr:cNvSpPr>
              <a:spLocks/>
            </xdr:cNvSpPr>
          </xdr:nvSpPr>
          <xdr:spPr>
            <a:xfrm>
              <a:off x="237" y="169"/>
              <a:ext cx="11" cy="23"/>
            </a:xfrm>
            <a:prstGeom prst="roundRect">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5" name="Oval 695"/>
            <xdr:cNvSpPr>
              <a:spLocks/>
            </xdr:cNvSpPr>
          </xdr:nvSpPr>
          <xdr:spPr>
            <a:xfrm>
              <a:off x="237" y="169"/>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6" name="Oval 696"/>
            <xdr:cNvSpPr>
              <a:spLocks/>
            </xdr:cNvSpPr>
          </xdr:nvSpPr>
          <xdr:spPr>
            <a:xfrm>
              <a:off x="237" y="182"/>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editAs="absolute">
    <xdr:from>
      <xdr:col>39</xdr:col>
      <xdr:colOff>180975</xdr:colOff>
      <xdr:row>24</xdr:row>
      <xdr:rowOff>114300</xdr:rowOff>
    </xdr:from>
    <xdr:to>
      <xdr:col>42</xdr:col>
      <xdr:colOff>57150</xdr:colOff>
      <xdr:row>27</xdr:row>
      <xdr:rowOff>38100</xdr:rowOff>
    </xdr:to>
    <xdr:grpSp>
      <xdr:nvGrpSpPr>
        <xdr:cNvPr id="697" name="Group 697"/>
        <xdr:cNvGrpSpPr>
          <a:grpSpLocks/>
        </xdr:cNvGrpSpPr>
      </xdr:nvGrpSpPr>
      <xdr:grpSpPr>
        <a:xfrm rot="19800000">
          <a:off x="7610475" y="4171950"/>
          <a:ext cx="447675" cy="438150"/>
          <a:chOff x="751" y="457"/>
          <a:chExt cx="47" cy="46"/>
        </a:xfrm>
        <a:solidFill>
          <a:srgbClr val="FFFFFF"/>
        </a:solidFill>
      </xdr:grpSpPr>
      <xdr:sp>
        <xdr:nvSpPr>
          <xdr:cNvPr id="698" name="AutoShape 698"/>
          <xdr:cNvSpPr>
            <a:spLocks/>
          </xdr:cNvSpPr>
        </xdr:nvSpPr>
        <xdr:spPr>
          <a:xfrm rot="3640816">
            <a:off x="755" y="457"/>
            <a:ext cx="40" cy="46"/>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9" name="Line 699"/>
          <xdr:cNvSpPr>
            <a:spLocks/>
          </xdr:cNvSpPr>
        </xdr:nvSpPr>
        <xdr:spPr>
          <a:xfrm>
            <a:off x="775" y="460"/>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0" name="Line 700"/>
          <xdr:cNvSpPr>
            <a:spLocks/>
          </xdr:cNvSpPr>
        </xdr:nvSpPr>
        <xdr:spPr>
          <a:xfrm>
            <a:off x="758" y="470"/>
            <a:ext cx="33" cy="2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1" name="Line 701"/>
          <xdr:cNvSpPr>
            <a:spLocks/>
          </xdr:cNvSpPr>
        </xdr:nvSpPr>
        <xdr:spPr>
          <a:xfrm flipV="1">
            <a:off x="758" y="480"/>
            <a:ext cx="17" cy="1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702" name="Group 702"/>
          <xdr:cNvGrpSpPr>
            <a:grpSpLocks/>
          </xdr:cNvGrpSpPr>
        </xdr:nvGrpSpPr>
        <xdr:grpSpPr>
          <a:xfrm>
            <a:off x="764" y="468"/>
            <a:ext cx="22" cy="24"/>
            <a:chOff x="629" y="295"/>
            <a:chExt cx="22" cy="24"/>
          </a:xfrm>
          <a:solidFill>
            <a:srgbClr val="FFFFFF"/>
          </a:solidFill>
        </xdr:grpSpPr>
        <xdr:sp>
          <xdr:nvSpPr>
            <xdr:cNvPr id="703" name="Polygon 703"/>
            <xdr:cNvSpPr>
              <a:spLocks/>
            </xdr:cNvSpPr>
          </xdr:nvSpPr>
          <xdr:spPr>
            <a:xfrm>
              <a:off x="629" y="296"/>
              <a:ext cx="19" cy="22"/>
            </a:xfrm>
            <a:custGeom>
              <a:pathLst>
                <a:path h="23" w="20">
                  <a:moveTo>
                    <a:pt x="0" y="18"/>
                  </a:moveTo>
                  <a:lnTo>
                    <a:pt x="0" y="5"/>
                  </a:lnTo>
                  <a:lnTo>
                    <a:pt x="8" y="0"/>
                  </a:lnTo>
                  <a:lnTo>
                    <a:pt x="20" y="7"/>
                  </a:lnTo>
                  <a:lnTo>
                    <a:pt x="20" y="16"/>
                  </a:lnTo>
                  <a:lnTo>
                    <a:pt x="9" y="23"/>
                  </a:lnTo>
                  <a:lnTo>
                    <a:pt x="0" y="18"/>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4" name="Oval 704"/>
            <xdr:cNvSpPr>
              <a:spLocks/>
            </xdr:cNvSpPr>
          </xdr:nvSpPr>
          <xdr:spPr>
            <a:xfrm>
              <a:off x="640" y="301"/>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5" name="Oval 705"/>
            <xdr:cNvSpPr>
              <a:spLocks/>
            </xdr:cNvSpPr>
          </xdr:nvSpPr>
          <xdr:spPr>
            <a:xfrm>
              <a:off x="629" y="295"/>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6" name="Oval 706"/>
            <xdr:cNvSpPr>
              <a:spLocks/>
            </xdr:cNvSpPr>
          </xdr:nvSpPr>
          <xdr:spPr>
            <a:xfrm>
              <a:off x="629" y="308"/>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707" name="Oval 707"/>
          <xdr:cNvSpPr>
            <a:spLocks/>
          </xdr:cNvSpPr>
        </xdr:nvSpPr>
        <xdr:spPr>
          <a:xfrm>
            <a:off x="775" y="459"/>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特</a:t>
            </a:r>
          </a:p>
        </xdr:txBody>
      </xdr:sp>
      <xdr:sp>
        <xdr:nvSpPr>
          <xdr:cNvPr id="708" name="Oval 708"/>
          <xdr:cNvSpPr>
            <a:spLocks/>
          </xdr:cNvSpPr>
        </xdr:nvSpPr>
        <xdr:spPr>
          <a:xfrm>
            <a:off x="775" y="485"/>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京</a:t>
            </a:r>
          </a:p>
        </xdr:txBody>
      </xdr:sp>
      <xdr:sp>
        <xdr:nvSpPr>
          <xdr:cNvPr id="709" name="Oval 709"/>
          <xdr:cNvSpPr>
            <a:spLocks/>
          </xdr:cNvSpPr>
        </xdr:nvSpPr>
        <xdr:spPr>
          <a:xfrm>
            <a:off x="783" y="470"/>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B</a:t>
            </a:r>
          </a:p>
        </xdr:txBody>
      </xdr:sp>
      <xdr:grpSp>
        <xdr:nvGrpSpPr>
          <xdr:cNvPr id="710" name="Group 710"/>
          <xdr:cNvGrpSpPr>
            <a:grpSpLocks/>
          </xdr:cNvGrpSpPr>
        </xdr:nvGrpSpPr>
        <xdr:grpSpPr>
          <a:xfrm>
            <a:off x="751" y="473"/>
            <a:ext cx="15" cy="15"/>
            <a:chOff x="726" y="120"/>
            <a:chExt cx="15" cy="15"/>
          </a:xfrm>
          <a:solidFill>
            <a:srgbClr val="FFFFFF"/>
          </a:solidFill>
        </xdr:grpSpPr>
        <xdr:sp>
          <xdr:nvSpPr>
            <xdr:cNvPr id="711" name="Oval 711"/>
            <xdr:cNvSpPr>
              <a:spLocks/>
            </xdr:cNvSpPr>
          </xdr:nvSpPr>
          <xdr:spPr>
            <a:xfrm>
              <a:off x="729" y="123"/>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712" name="Oval 712"/>
            <xdr:cNvSpPr>
              <a:spLocks/>
            </xdr:cNvSpPr>
          </xdr:nvSpPr>
          <xdr:spPr>
            <a:xfrm>
              <a:off x="726" y="120"/>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6</a:t>
              </a:r>
            </a:p>
          </xdr:txBody>
        </xdr:sp>
      </xdr:grpSp>
    </xdr:grpSp>
    <xdr:clientData/>
  </xdr:twoCellAnchor>
  <xdr:twoCellAnchor editAs="absolute">
    <xdr:from>
      <xdr:col>12</xdr:col>
      <xdr:colOff>171450</xdr:colOff>
      <xdr:row>14</xdr:row>
      <xdr:rowOff>123825</xdr:rowOff>
    </xdr:from>
    <xdr:to>
      <xdr:col>15</xdr:col>
      <xdr:colOff>38100</xdr:colOff>
      <xdr:row>17</xdr:row>
      <xdr:rowOff>19050</xdr:rowOff>
    </xdr:to>
    <xdr:grpSp>
      <xdr:nvGrpSpPr>
        <xdr:cNvPr id="713" name="Group 713"/>
        <xdr:cNvGrpSpPr>
          <a:grpSpLocks/>
        </xdr:cNvGrpSpPr>
      </xdr:nvGrpSpPr>
      <xdr:grpSpPr>
        <a:xfrm rot="5400000">
          <a:off x="2457450" y="2466975"/>
          <a:ext cx="438150" cy="409575"/>
          <a:chOff x="753" y="457"/>
          <a:chExt cx="43" cy="46"/>
        </a:xfrm>
        <a:solidFill>
          <a:srgbClr val="FFFFFF"/>
        </a:solidFill>
      </xdr:grpSpPr>
      <xdr:sp>
        <xdr:nvSpPr>
          <xdr:cNvPr id="714" name="AutoShape 714"/>
          <xdr:cNvSpPr>
            <a:spLocks/>
          </xdr:cNvSpPr>
        </xdr:nvSpPr>
        <xdr:spPr>
          <a:xfrm rot="3640816">
            <a:off x="756" y="457"/>
            <a:ext cx="40" cy="46"/>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5" name="Line 715"/>
          <xdr:cNvSpPr>
            <a:spLocks/>
          </xdr:cNvSpPr>
        </xdr:nvSpPr>
        <xdr:spPr>
          <a:xfrm>
            <a:off x="776" y="460"/>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6" name="Line 716"/>
          <xdr:cNvSpPr>
            <a:spLocks/>
          </xdr:cNvSpPr>
        </xdr:nvSpPr>
        <xdr:spPr>
          <a:xfrm>
            <a:off x="759" y="470"/>
            <a:ext cx="33" cy="2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7" name="Line 717"/>
          <xdr:cNvSpPr>
            <a:spLocks/>
          </xdr:cNvSpPr>
        </xdr:nvSpPr>
        <xdr:spPr>
          <a:xfrm flipV="1">
            <a:off x="759" y="480"/>
            <a:ext cx="17" cy="1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718" name="Group 718"/>
          <xdr:cNvGrpSpPr>
            <a:grpSpLocks/>
          </xdr:cNvGrpSpPr>
        </xdr:nvGrpSpPr>
        <xdr:grpSpPr>
          <a:xfrm>
            <a:off x="765" y="468"/>
            <a:ext cx="22" cy="24"/>
            <a:chOff x="629" y="295"/>
            <a:chExt cx="22" cy="24"/>
          </a:xfrm>
          <a:solidFill>
            <a:srgbClr val="FFFFFF"/>
          </a:solidFill>
        </xdr:grpSpPr>
        <xdr:sp>
          <xdr:nvSpPr>
            <xdr:cNvPr id="719" name="Polygon 719"/>
            <xdr:cNvSpPr>
              <a:spLocks/>
            </xdr:cNvSpPr>
          </xdr:nvSpPr>
          <xdr:spPr>
            <a:xfrm>
              <a:off x="629" y="296"/>
              <a:ext cx="19" cy="22"/>
            </a:xfrm>
            <a:custGeom>
              <a:pathLst>
                <a:path h="23" w="20">
                  <a:moveTo>
                    <a:pt x="0" y="18"/>
                  </a:moveTo>
                  <a:lnTo>
                    <a:pt x="0" y="5"/>
                  </a:lnTo>
                  <a:lnTo>
                    <a:pt x="8" y="0"/>
                  </a:lnTo>
                  <a:lnTo>
                    <a:pt x="20" y="7"/>
                  </a:lnTo>
                  <a:lnTo>
                    <a:pt x="20" y="16"/>
                  </a:lnTo>
                  <a:lnTo>
                    <a:pt x="9" y="23"/>
                  </a:lnTo>
                  <a:lnTo>
                    <a:pt x="0" y="18"/>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0" name="Oval 720"/>
            <xdr:cNvSpPr>
              <a:spLocks/>
            </xdr:cNvSpPr>
          </xdr:nvSpPr>
          <xdr:spPr>
            <a:xfrm>
              <a:off x="640" y="301"/>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1" name="Oval 721"/>
            <xdr:cNvSpPr>
              <a:spLocks/>
            </xdr:cNvSpPr>
          </xdr:nvSpPr>
          <xdr:spPr>
            <a:xfrm>
              <a:off x="629" y="295"/>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2" name="Oval 722"/>
            <xdr:cNvSpPr>
              <a:spLocks/>
            </xdr:cNvSpPr>
          </xdr:nvSpPr>
          <xdr:spPr>
            <a:xfrm>
              <a:off x="629" y="308"/>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723" name="Oval 723"/>
          <xdr:cNvSpPr>
            <a:spLocks/>
          </xdr:cNvSpPr>
        </xdr:nvSpPr>
        <xdr:spPr>
          <a:xfrm>
            <a:off x="776" y="459"/>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特</a:t>
            </a:r>
          </a:p>
        </xdr:txBody>
      </xdr:sp>
      <xdr:sp>
        <xdr:nvSpPr>
          <xdr:cNvPr id="724" name="Oval 724"/>
          <xdr:cNvSpPr>
            <a:spLocks/>
          </xdr:cNvSpPr>
        </xdr:nvSpPr>
        <xdr:spPr>
          <a:xfrm>
            <a:off x="776" y="485"/>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東</a:t>
            </a:r>
          </a:p>
        </xdr:txBody>
      </xdr:sp>
      <xdr:grpSp>
        <xdr:nvGrpSpPr>
          <xdr:cNvPr id="725" name="Group 725"/>
          <xdr:cNvGrpSpPr>
            <a:grpSpLocks/>
          </xdr:cNvGrpSpPr>
        </xdr:nvGrpSpPr>
        <xdr:grpSpPr>
          <a:xfrm>
            <a:off x="753" y="473"/>
            <a:ext cx="15" cy="15"/>
            <a:chOff x="737" y="176"/>
            <a:chExt cx="15" cy="15"/>
          </a:xfrm>
          <a:solidFill>
            <a:srgbClr val="FFFFFF"/>
          </a:solidFill>
        </xdr:grpSpPr>
        <xdr:sp>
          <xdr:nvSpPr>
            <xdr:cNvPr id="726" name="Oval 726"/>
            <xdr:cNvSpPr>
              <a:spLocks/>
            </xdr:cNvSpPr>
          </xdr:nvSpPr>
          <xdr:spPr>
            <a:xfrm>
              <a:off x="739" y="179"/>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727" name="Oval 727"/>
            <xdr:cNvSpPr>
              <a:spLocks/>
            </xdr:cNvSpPr>
          </xdr:nvSpPr>
          <xdr:spPr>
            <a:xfrm>
              <a:off x="737" y="176"/>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8</a:t>
              </a:r>
            </a:p>
          </xdr:txBody>
        </xdr:sp>
      </xdr:grpSp>
    </xdr:grpSp>
    <xdr:clientData/>
  </xdr:twoCellAnchor>
  <xdr:twoCellAnchor editAs="absolute">
    <xdr:from>
      <xdr:col>28</xdr:col>
      <xdr:colOff>19050</xdr:colOff>
      <xdr:row>29</xdr:row>
      <xdr:rowOff>85725</xdr:rowOff>
    </xdr:from>
    <xdr:to>
      <xdr:col>30</xdr:col>
      <xdr:colOff>38100</xdr:colOff>
      <xdr:row>32</xdr:row>
      <xdr:rowOff>28575</xdr:rowOff>
    </xdr:to>
    <xdr:grpSp>
      <xdr:nvGrpSpPr>
        <xdr:cNvPr id="728" name="Group 728"/>
        <xdr:cNvGrpSpPr>
          <a:grpSpLocks/>
        </xdr:cNvGrpSpPr>
      </xdr:nvGrpSpPr>
      <xdr:grpSpPr>
        <a:xfrm rot="9000000">
          <a:off x="5353050" y="5000625"/>
          <a:ext cx="400050" cy="438150"/>
          <a:chOff x="741" y="450"/>
          <a:chExt cx="42" cy="46"/>
        </a:xfrm>
        <a:solidFill>
          <a:srgbClr val="FFFFFF"/>
        </a:solidFill>
      </xdr:grpSpPr>
      <xdr:grpSp>
        <xdr:nvGrpSpPr>
          <xdr:cNvPr id="729" name="Group 729"/>
          <xdr:cNvGrpSpPr>
            <a:grpSpLocks/>
          </xdr:cNvGrpSpPr>
        </xdr:nvGrpSpPr>
        <xdr:grpSpPr>
          <a:xfrm>
            <a:off x="743" y="450"/>
            <a:ext cx="40" cy="46"/>
            <a:chOff x="700" y="235"/>
            <a:chExt cx="40" cy="46"/>
          </a:xfrm>
          <a:solidFill>
            <a:srgbClr val="FFFFFF"/>
          </a:solidFill>
        </xdr:grpSpPr>
        <xdr:sp>
          <xdr:nvSpPr>
            <xdr:cNvPr id="730" name="AutoShape 730"/>
            <xdr:cNvSpPr>
              <a:spLocks/>
            </xdr:cNvSpPr>
          </xdr:nvSpPr>
          <xdr:spPr>
            <a:xfrm rot="3640816">
              <a:off x="700" y="235"/>
              <a:ext cx="40" cy="46"/>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1" name="Line 731"/>
            <xdr:cNvSpPr>
              <a:spLocks/>
            </xdr:cNvSpPr>
          </xdr:nvSpPr>
          <xdr:spPr>
            <a:xfrm>
              <a:off x="720" y="238"/>
              <a:ext cx="0" cy="2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2" name="Line 732"/>
            <xdr:cNvSpPr>
              <a:spLocks/>
            </xdr:cNvSpPr>
          </xdr:nvSpPr>
          <xdr:spPr>
            <a:xfrm>
              <a:off x="703" y="248"/>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3" name="Line 733"/>
            <xdr:cNvSpPr>
              <a:spLocks/>
            </xdr:cNvSpPr>
          </xdr:nvSpPr>
          <xdr:spPr>
            <a:xfrm flipV="1">
              <a:off x="703" y="257"/>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734" name="Group 734"/>
            <xdr:cNvGrpSpPr>
              <a:grpSpLocks/>
            </xdr:cNvGrpSpPr>
          </xdr:nvGrpSpPr>
          <xdr:grpSpPr>
            <a:xfrm rot="17810808">
              <a:off x="708" y="252"/>
              <a:ext cx="24" cy="11"/>
              <a:chOff x="237" y="169"/>
              <a:chExt cx="11" cy="24"/>
            </a:xfrm>
            <a:solidFill>
              <a:srgbClr val="FFFFFF"/>
            </a:solidFill>
          </xdr:grpSpPr>
          <xdr:sp>
            <xdr:nvSpPr>
              <xdr:cNvPr id="735" name="Rectangle 735"/>
              <xdr:cNvSpPr>
                <a:spLocks/>
              </xdr:cNvSpPr>
            </xdr:nvSpPr>
            <xdr:spPr>
              <a:xfrm>
                <a:off x="237" y="169"/>
                <a:ext cx="11" cy="23"/>
              </a:xfrm>
              <a:prstGeom prst="roundRect">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6" name="Oval 736"/>
              <xdr:cNvSpPr>
                <a:spLocks/>
              </xdr:cNvSpPr>
            </xdr:nvSpPr>
            <xdr:spPr>
              <a:xfrm>
                <a:off x="237" y="169"/>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7" name="Oval 737"/>
              <xdr:cNvSpPr>
                <a:spLocks/>
              </xdr:cNvSpPr>
            </xdr:nvSpPr>
            <xdr:spPr>
              <a:xfrm>
                <a:off x="237" y="182"/>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738" name="Oval 738"/>
          <xdr:cNvSpPr>
            <a:spLocks/>
          </xdr:cNvSpPr>
        </xdr:nvSpPr>
        <xdr:spPr>
          <a:xfrm>
            <a:off x="753" y="479"/>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西</a:t>
            </a:r>
          </a:p>
        </xdr:txBody>
      </xdr:sp>
      <xdr:grpSp>
        <xdr:nvGrpSpPr>
          <xdr:cNvPr id="739" name="Group 739"/>
          <xdr:cNvGrpSpPr>
            <a:grpSpLocks/>
          </xdr:cNvGrpSpPr>
        </xdr:nvGrpSpPr>
        <xdr:grpSpPr>
          <a:xfrm>
            <a:off x="741" y="464"/>
            <a:ext cx="15" cy="15"/>
            <a:chOff x="711" y="103"/>
            <a:chExt cx="15" cy="15"/>
          </a:xfrm>
          <a:solidFill>
            <a:srgbClr val="FFFFFF"/>
          </a:solidFill>
        </xdr:grpSpPr>
        <xdr:sp>
          <xdr:nvSpPr>
            <xdr:cNvPr id="740" name="Oval 740"/>
            <xdr:cNvSpPr>
              <a:spLocks/>
            </xdr:cNvSpPr>
          </xdr:nvSpPr>
          <xdr:spPr>
            <a:xfrm>
              <a:off x="713" y="107"/>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741" name="Oval 741"/>
            <xdr:cNvSpPr>
              <a:spLocks/>
            </xdr:cNvSpPr>
          </xdr:nvSpPr>
          <xdr:spPr>
            <a:xfrm>
              <a:off x="711" y="103"/>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5</a:t>
              </a:r>
            </a:p>
          </xdr:txBody>
        </xdr:sp>
      </xdr:grpSp>
      <xdr:sp>
        <xdr:nvSpPr>
          <xdr:cNvPr id="742" name="Oval 742"/>
          <xdr:cNvSpPr>
            <a:spLocks/>
          </xdr:cNvSpPr>
        </xdr:nvSpPr>
        <xdr:spPr>
          <a:xfrm>
            <a:off x="763" y="454"/>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特</a:t>
            </a:r>
          </a:p>
        </xdr:txBody>
      </xdr:sp>
    </xdr:grpSp>
    <xdr:clientData/>
  </xdr:twoCellAnchor>
  <xdr:twoCellAnchor editAs="absolute">
    <xdr:from>
      <xdr:col>11</xdr:col>
      <xdr:colOff>180975</xdr:colOff>
      <xdr:row>12</xdr:row>
      <xdr:rowOff>123825</xdr:rowOff>
    </xdr:from>
    <xdr:to>
      <xdr:col>14</xdr:col>
      <xdr:colOff>9525</xdr:colOff>
      <xdr:row>15</xdr:row>
      <xdr:rowOff>47625</xdr:rowOff>
    </xdr:to>
    <xdr:grpSp>
      <xdr:nvGrpSpPr>
        <xdr:cNvPr id="743" name="Group 743"/>
        <xdr:cNvGrpSpPr>
          <a:grpSpLocks/>
        </xdr:cNvGrpSpPr>
      </xdr:nvGrpSpPr>
      <xdr:grpSpPr>
        <a:xfrm rot="1800000">
          <a:off x="2276475" y="2124075"/>
          <a:ext cx="400050" cy="438150"/>
          <a:chOff x="760" y="445"/>
          <a:chExt cx="42" cy="46"/>
        </a:xfrm>
        <a:solidFill>
          <a:srgbClr val="FFFFFF"/>
        </a:solidFill>
      </xdr:grpSpPr>
      <xdr:sp>
        <xdr:nvSpPr>
          <xdr:cNvPr id="744" name="AutoShape 744"/>
          <xdr:cNvSpPr>
            <a:spLocks/>
          </xdr:cNvSpPr>
        </xdr:nvSpPr>
        <xdr:spPr>
          <a:xfrm rot="3640816">
            <a:off x="762" y="445"/>
            <a:ext cx="40" cy="46"/>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5" name="Line 745"/>
          <xdr:cNvSpPr>
            <a:spLocks/>
          </xdr:cNvSpPr>
        </xdr:nvSpPr>
        <xdr:spPr>
          <a:xfrm>
            <a:off x="782" y="448"/>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6" name="Line 746"/>
          <xdr:cNvSpPr>
            <a:spLocks/>
          </xdr:cNvSpPr>
        </xdr:nvSpPr>
        <xdr:spPr>
          <a:xfrm>
            <a:off x="765" y="458"/>
            <a:ext cx="33" cy="2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747" name="Group 747"/>
          <xdr:cNvGrpSpPr>
            <a:grpSpLocks/>
          </xdr:cNvGrpSpPr>
        </xdr:nvGrpSpPr>
        <xdr:grpSpPr>
          <a:xfrm>
            <a:off x="772" y="456"/>
            <a:ext cx="22" cy="24"/>
            <a:chOff x="629" y="295"/>
            <a:chExt cx="22" cy="24"/>
          </a:xfrm>
          <a:solidFill>
            <a:srgbClr val="FFFFFF"/>
          </a:solidFill>
        </xdr:grpSpPr>
        <xdr:sp>
          <xdr:nvSpPr>
            <xdr:cNvPr id="748" name="Polygon 748"/>
            <xdr:cNvSpPr>
              <a:spLocks/>
            </xdr:cNvSpPr>
          </xdr:nvSpPr>
          <xdr:spPr>
            <a:xfrm>
              <a:off x="629" y="296"/>
              <a:ext cx="19" cy="22"/>
            </a:xfrm>
            <a:custGeom>
              <a:pathLst>
                <a:path h="23" w="20">
                  <a:moveTo>
                    <a:pt x="0" y="18"/>
                  </a:moveTo>
                  <a:lnTo>
                    <a:pt x="0" y="5"/>
                  </a:lnTo>
                  <a:lnTo>
                    <a:pt x="8" y="0"/>
                  </a:lnTo>
                  <a:lnTo>
                    <a:pt x="20" y="7"/>
                  </a:lnTo>
                  <a:lnTo>
                    <a:pt x="20" y="16"/>
                  </a:lnTo>
                  <a:lnTo>
                    <a:pt x="9" y="23"/>
                  </a:lnTo>
                  <a:lnTo>
                    <a:pt x="0" y="18"/>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9" name="Oval 749"/>
            <xdr:cNvSpPr>
              <a:spLocks/>
            </xdr:cNvSpPr>
          </xdr:nvSpPr>
          <xdr:spPr>
            <a:xfrm>
              <a:off x="640" y="301"/>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0" name="Oval 750"/>
            <xdr:cNvSpPr>
              <a:spLocks/>
            </xdr:cNvSpPr>
          </xdr:nvSpPr>
          <xdr:spPr>
            <a:xfrm>
              <a:off x="629" y="295"/>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1" name="Oval 751"/>
            <xdr:cNvSpPr>
              <a:spLocks/>
            </xdr:cNvSpPr>
          </xdr:nvSpPr>
          <xdr:spPr>
            <a:xfrm>
              <a:off x="629" y="308"/>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752" name="Group 752"/>
          <xdr:cNvGrpSpPr>
            <a:grpSpLocks/>
          </xdr:cNvGrpSpPr>
        </xdr:nvGrpSpPr>
        <xdr:grpSpPr>
          <a:xfrm>
            <a:off x="760" y="462"/>
            <a:ext cx="15" cy="15"/>
            <a:chOff x="737" y="176"/>
            <a:chExt cx="15" cy="15"/>
          </a:xfrm>
          <a:solidFill>
            <a:srgbClr val="FFFFFF"/>
          </a:solidFill>
        </xdr:grpSpPr>
        <xdr:sp>
          <xdr:nvSpPr>
            <xdr:cNvPr id="753" name="Oval 753"/>
            <xdr:cNvSpPr>
              <a:spLocks/>
            </xdr:cNvSpPr>
          </xdr:nvSpPr>
          <xdr:spPr>
            <a:xfrm>
              <a:off x="739" y="179"/>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754" name="Oval 754"/>
            <xdr:cNvSpPr>
              <a:spLocks/>
            </xdr:cNvSpPr>
          </xdr:nvSpPr>
          <xdr:spPr>
            <a:xfrm>
              <a:off x="737" y="176"/>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8</a:t>
              </a:r>
            </a:p>
          </xdr:txBody>
        </xdr:sp>
      </xdr:grpSp>
      <xdr:sp>
        <xdr:nvSpPr>
          <xdr:cNvPr id="755" name="Oval 755"/>
          <xdr:cNvSpPr>
            <a:spLocks/>
          </xdr:cNvSpPr>
        </xdr:nvSpPr>
        <xdr:spPr>
          <a:xfrm>
            <a:off x="781" y="474"/>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北</a:t>
            </a:r>
          </a:p>
        </xdr:txBody>
      </xdr:sp>
      <xdr:sp>
        <xdr:nvSpPr>
          <xdr:cNvPr id="756" name="Oval 756"/>
          <xdr:cNvSpPr>
            <a:spLocks/>
          </xdr:cNvSpPr>
        </xdr:nvSpPr>
        <xdr:spPr>
          <a:xfrm>
            <a:off x="782" y="447"/>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特</a:t>
            </a:r>
          </a:p>
        </xdr:txBody>
      </xdr:sp>
    </xdr:grpSp>
    <xdr:clientData/>
  </xdr:twoCellAnchor>
  <xdr:twoCellAnchor editAs="absolute">
    <xdr:from>
      <xdr:col>34</xdr:col>
      <xdr:colOff>9525</xdr:colOff>
      <xdr:row>7</xdr:row>
      <xdr:rowOff>19050</xdr:rowOff>
    </xdr:from>
    <xdr:to>
      <xdr:col>36</xdr:col>
      <xdr:colOff>9525</xdr:colOff>
      <xdr:row>10</xdr:row>
      <xdr:rowOff>19050</xdr:rowOff>
    </xdr:to>
    <xdr:grpSp>
      <xdr:nvGrpSpPr>
        <xdr:cNvPr id="757" name="Group 757"/>
        <xdr:cNvGrpSpPr>
          <a:grpSpLocks/>
        </xdr:cNvGrpSpPr>
      </xdr:nvGrpSpPr>
      <xdr:grpSpPr>
        <a:xfrm rot="12600000">
          <a:off x="6486525" y="1162050"/>
          <a:ext cx="381000" cy="514350"/>
          <a:chOff x="989" y="112"/>
          <a:chExt cx="40" cy="54"/>
        </a:xfrm>
        <a:solidFill>
          <a:srgbClr val="FFFFFF"/>
        </a:solidFill>
      </xdr:grpSpPr>
      <xdr:sp>
        <xdr:nvSpPr>
          <xdr:cNvPr id="758" name="AutoShape 758"/>
          <xdr:cNvSpPr>
            <a:spLocks/>
          </xdr:cNvSpPr>
        </xdr:nvSpPr>
        <xdr:spPr>
          <a:xfrm rot="3640816">
            <a:off x="989" y="112"/>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9" name="Arc 759"/>
          <xdr:cNvSpPr>
            <a:spLocks/>
          </xdr:cNvSpPr>
        </xdr:nvSpPr>
        <xdr:spPr>
          <a:xfrm rot="18208223">
            <a:off x="990" y="134"/>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0" name="Oval 760"/>
          <xdr:cNvSpPr>
            <a:spLocks/>
          </xdr:cNvSpPr>
        </xdr:nvSpPr>
        <xdr:spPr>
          <a:xfrm>
            <a:off x="995" y="140"/>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8</a:t>
            </a:r>
          </a:p>
        </xdr:txBody>
      </xdr:sp>
    </xdr:grpSp>
    <xdr:clientData/>
  </xdr:twoCellAnchor>
  <xdr:twoCellAnchor editAs="absolute">
    <xdr:from>
      <xdr:col>33</xdr:col>
      <xdr:colOff>9525</xdr:colOff>
      <xdr:row>1</xdr:row>
      <xdr:rowOff>47625</xdr:rowOff>
    </xdr:from>
    <xdr:to>
      <xdr:col>35</xdr:col>
      <xdr:colOff>9525</xdr:colOff>
      <xdr:row>3</xdr:row>
      <xdr:rowOff>142875</xdr:rowOff>
    </xdr:to>
    <xdr:grpSp>
      <xdr:nvGrpSpPr>
        <xdr:cNvPr id="761" name="Group 761"/>
        <xdr:cNvGrpSpPr>
          <a:grpSpLocks/>
        </xdr:cNvGrpSpPr>
      </xdr:nvGrpSpPr>
      <xdr:grpSpPr>
        <a:xfrm>
          <a:off x="6296025" y="161925"/>
          <a:ext cx="381000" cy="438150"/>
          <a:chOff x="997" y="66"/>
          <a:chExt cx="40" cy="46"/>
        </a:xfrm>
        <a:solidFill>
          <a:srgbClr val="FFFFFF"/>
        </a:solidFill>
      </xdr:grpSpPr>
      <xdr:sp>
        <xdr:nvSpPr>
          <xdr:cNvPr id="762" name="AutoShape 762"/>
          <xdr:cNvSpPr>
            <a:spLocks/>
          </xdr:cNvSpPr>
        </xdr:nvSpPr>
        <xdr:spPr>
          <a:xfrm rot="3604144">
            <a:off x="997" y="66"/>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3" name="Line 763"/>
          <xdr:cNvSpPr>
            <a:spLocks/>
          </xdr:cNvSpPr>
        </xdr:nvSpPr>
        <xdr:spPr>
          <a:xfrm rot="21563327">
            <a:off x="1017" y="69"/>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4" name="Oval 764"/>
          <xdr:cNvSpPr>
            <a:spLocks/>
          </xdr:cNvSpPr>
        </xdr:nvSpPr>
        <xdr:spPr>
          <a:xfrm>
            <a:off x="1017" y="92"/>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9</a:t>
            </a:r>
          </a:p>
        </xdr:txBody>
      </xdr:sp>
    </xdr:grpSp>
    <xdr:clientData/>
  </xdr:twoCellAnchor>
  <xdr:twoCellAnchor editAs="absolute">
    <xdr:from>
      <xdr:col>29</xdr:col>
      <xdr:colOff>114300</xdr:colOff>
      <xdr:row>4</xdr:row>
      <xdr:rowOff>104775</xdr:rowOff>
    </xdr:from>
    <xdr:to>
      <xdr:col>31</xdr:col>
      <xdr:colOff>114300</xdr:colOff>
      <xdr:row>7</xdr:row>
      <xdr:rowOff>47625</xdr:rowOff>
    </xdr:to>
    <xdr:grpSp>
      <xdr:nvGrpSpPr>
        <xdr:cNvPr id="765" name="Group 765"/>
        <xdr:cNvGrpSpPr>
          <a:grpSpLocks/>
        </xdr:cNvGrpSpPr>
      </xdr:nvGrpSpPr>
      <xdr:grpSpPr>
        <a:xfrm>
          <a:off x="5638800" y="733425"/>
          <a:ext cx="381000" cy="457200"/>
          <a:chOff x="975" y="138"/>
          <a:chExt cx="40" cy="48"/>
        </a:xfrm>
        <a:solidFill>
          <a:srgbClr val="FFFFFF"/>
        </a:solidFill>
      </xdr:grpSpPr>
      <xdr:sp>
        <xdr:nvSpPr>
          <xdr:cNvPr id="766" name="AutoShape 766"/>
          <xdr:cNvSpPr>
            <a:spLocks/>
          </xdr:cNvSpPr>
        </xdr:nvSpPr>
        <xdr:spPr>
          <a:xfrm rot="3640816">
            <a:off x="975" y="138"/>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7" name="Arc 767"/>
          <xdr:cNvSpPr>
            <a:spLocks/>
          </xdr:cNvSpPr>
        </xdr:nvSpPr>
        <xdr:spPr>
          <a:xfrm rot="19306582">
            <a:off x="976" y="167"/>
            <a:ext cx="17" cy="19"/>
          </a:xfrm>
          <a:prstGeom prst="arc">
            <a:avLst>
              <a:gd name="adj1" fmla="val -20069518"/>
              <a:gd name="adj2" fmla="val 10323888"/>
              <a:gd name="adj3" fmla="val 41342"/>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8" name="Oval 768"/>
          <xdr:cNvSpPr>
            <a:spLocks/>
          </xdr:cNvSpPr>
        </xdr:nvSpPr>
        <xdr:spPr>
          <a:xfrm>
            <a:off x="976" y="150"/>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7</a:t>
            </a:r>
          </a:p>
        </xdr:txBody>
      </xdr:sp>
    </xdr:grpSp>
    <xdr:clientData/>
  </xdr:twoCellAnchor>
  <xdr:twoCellAnchor editAs="absolute">
    <xdr:from>
      <xdr:col>46</xdr:col>
      <xdr:colOff>66675</xdr:colOff>
      <xdr:row>5</xdr:row>
      <xdr:rowOff>47625</xdr:rowOff>
    </xdr:from>
    <xdr:to>
      <xdr:col>47</xdr:col>
      <xdr:colOff>95250</xdr:colOff>
      <xdr:row>7</xdr:row>
      <xdr:rowOff>142875</xdr:rowOff>
    </xdr:to>
    <xdr:grpSp>
      <xdr:nvGrpSpPr>
        <xdr:cNvPr id="769" name="Group 769"/>
        <xdr:cNvGrpSpPr>
          <a:grpSpLocks/>
        </xdr:cNvGrpSpPr>
      </xdr:nvGrpSpPr>
      <xdr:grpSpPr>
        <a:xfrm>
          <a:off x="8829675" y="847725"/>
          <a:ext cx="381000" cy="438150"/>
          <a:chOff x="979" y="143"/>
          <a:chExt cx="40" cy="46"/>
        </a:xfrm>
        <a:solidFill>
          <a:srgbClr val="FFFFFF"/>
        </a:solidFill>
      </xdr:grpSpPr>
      <xdr:sp>
        <xdr:nvSpPr>
          <xdr:cNvPr id="770" name="AutoShape 770"/>
          <xdr:cNvSpPr>
            <a:spLocks/>
          </xdr:cNvSpPr>
        </xdr:nvSpPr>
        <xdr:spPr>
          <a:xfrm rot="3604144">
            <a:off x="979" y="143"/>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1" name="Line 771"/>
          <xdr:cNvSpPr>
            <a:spLocks/>
          </xdr:cNvSpPr>
        </xdr:nvSpPr>
        <xdr:spPr>
          <a:xfrm rot="21563327" flipH="1">
            <a:off x="999" y="146"/>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2" name="Line 772"/>
          <xdr:cNvSpPr>
            <a:spLocks/>
          </xdr:cNvSpPr>
        </xdr:nvSpPr>
        <xdr:spPr>
          <a:xfrm rot="5400000">
            <a:off x="998" y="160"/>
            <a:ext cx="0" cy="13"/>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773" name="Group 773"/>
          <xdr:cNvGrpSpPr>
            <a:grpSpLocks/>
          </xdr:cNvGrpSpPr>
        </xdr:nvGrpSpPr>
        <xdr:grpSpPr>
          <a:xfrm>
            <a:off x="984" y="150"/>
            <a:ext cx="15" cy="15"/>
            <a:chOff x="690" y="111"/>
            <a:chExt cx="15" cy="15"/>
          </a:xfrm>
          <a:solidFill>
            <a:srgbClr val="FFFFFF"/>
          </a:solidFill>
        </xdr:grpSpPr>
        <xdr:sp>
          <xdr:nvSpPr>
            <xdr:cNvPr id="774" name="Oval 774"/>
            <xdr:cNvSpPr>
              <a:spLocks/>
            </xdr:cNvSpPr>
          </xdr:nvSpPr>
          <xdr:spPr>
            <a:xfrm>
              <a:off x="693" y="115"/>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775" name="Oval 775"/>
            <xdr:cNvSpPr>
              <a:spLocks/>
            </xdr:cNvSpPr>
          </xdr:nvSpPr>
          <xdr:spPr>
            <a:xfrm>
              <a:off x="690" y="11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1</a:t>
              </a:r>
            </a:p>
          </xdr:txBody>
        </xdr:sp>
      </xdr:grpSp>
      <xdr:sp>
        <xdr:nvSpPr>
          <xdr:cNvPr id="776" name="Oval 776"/>
          <xdr:cNvSpPr>
            <a:spLocks/>
          </xdr:cNvSpPr>
        </xdr:nvSpPr>
        <xdr:spPr>
          <a:xfrm>
            <a:off x="1000" y="168"/>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a:t>
            </a:r>
          </a:p>
        </xdr:txBody>
      </xdr:sp>
    </xdr:grpSp>
    <xdr:clientData/>
  </xdr:twoCellAnchor>
  <xdr:twoCellAnchor editAs="absolute">
    <xdr:from>
      <xdr:col>46</xdr:col>
      <xdr:colOff>28575</xdr:colOff>
      <xdr:row>0</xdr:row>
      <xdr:rowOff>66675</xdr:rowOff>
    </xdr:from>
    <xdr:to>
      <xdr:col>47</xdr:col>
      <xdr:colOff>57150</xdr:colOff>
      <xdr:row>3</xdr:row>
      <xdr:rowOff>123825</xdr:rowOff>
    </xdr:to>
    <xdr:grpSp>
      <xdr:nvGrpSpPr>
        <xdr:cNvPr id="777" name="Group 777"/>
        <xdr:cNvGrpSpPr>
          <a:grpSpLocks/>
        </xdr:cNvGrpSpPr>
      </xdr:nvGrpSpPr>
      <xdr:grpSpPr>
        <a:xfrm rot="10800000">
          <a:off x="8791575" y="66675"/>
          <a:ext cx="381000" cy="514350"/>
          <a:chOff x="974" y="24"/>
          <a:chExt cx="40" cy="54"/>
        </a:xfrm>
        <a:solidFill>
          <a:srgbClr val="FFFFFF"/>
        </a:solidFill>
      </xdr:grpSpPr>
      <xdr:sp>
        <xdr:nvSpPr>
          <xdr:cNvPr id="778" name="AutoShape 778"/>
          <xdr:cNvSpPr>
            <a:spLocks/>
          </xdr:cNvSpPr>
        </xdr:nvSpPr>
        <xdr:spPr>
          <a:xfrm rot="3640816">
            <a:off x="974" y="24"/>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9" name="Arc 779"/>
          <xdr:cNvSpPr>
            <a:spLocks/>
          </xdr:cNvSpPr>
        </xdr:nvSpPr>
        <xdr:spPr>
          <a:xfrm rot="18208223">
            <a:off x="975" y="46"/>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0" name="Line 780"/>
          <xdr:cNvSpPr>
            <a:spLocks/>
          </xdr:cNvSpPr>
        </xdr:nvSpPr>
        <xdr:spPr>
          <a:xfrm>
            <a:off x="994" y="45"/>
            <a:ext cx="0" cy="13"/>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781" name="Group 781"/>
          <xdr:cNvGrpSpPr>
            <a:grpSpLocks/>
          </xdr:cNvGrpSpPr>
        </xdr:nvGrpSpPr>
        <xdr:grpSpPr>
          <a:xfrm>
            <a:off x="997" y="34"/>
            <a:ext cx="15" cy="15"/>
            <a:chOff x="690" y="111"/>
            <a:chExt cx="15" cy="15"/>
          </a:xfrm>
          <a:solidFill>
            <a:srgbClr val="FFFFFF"/>
          </a:solidFill>
        </xdr:grpSpPr>
        <xdr:sp>
          <xdr:nvSpPr>
            <xdr:cNvPr id="782" name="Oval 782"/>
            <xdr:cNvSpPr>
              <a:spLocks/>
            </xdr:cNvSpPr>
          </xdr:nvSpPr>
          <xdr:spPr>
            <a:xfrm>
              <a:off x="693" y="115"/>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783" name="Oval 783"/>
            <xdr:cNvSpPr>
              <a:spLocks/>
            </xdr:cNvSpPr>
          </xdr:nvSpPr>
          <xdr:spPr>
            <a:xfrm>
              <a:off x="690" y="11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1</a:t>
              </a:r>
            </a:p>
          </xdr:txBody>
        </xdr:sp>
      </xdr:grpSp>
      <xdr:sp>
        <xdr:nvSpPr>
          <xdr:cNvPr id="784" name="Oval 784"/>
          <xdr:cNvSpPr>
            <a:spLocks/>
          </xdr:cNvSpPr>
        </xdr:nvSpPr>
        <xdr:spPr>
          <a:xfrm>
            <a:off x="979" y="29"/>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58</a:t>
            </a:r>
          </a:p>
        </xdr:txBody>
      </xdr:sp>
    </xdr:grpSp>
    <xdr:clientData/>
  </xdr:twoCellAnchor>
  <xdr:twoCellAnchor editAs="absolute">
    <xdr:from>
      <xdr:col>43</xdr:col>
      <xdr:colOff>28575</xdr:colOff>
      <xdr:row>7</xdr:row>
      <xdr:rowOff>38100</xdr:rowOff>
    </xdr:from>
    <xdr:to>
      <xdr:col>45</xdr:col>
      <xdr:colOff>28575</xdr:colOff>
      <xdr:row>9</xdr:row>
      <xdr:rowOff>161925</xdr:rowOff>
    </xdr:to>
    <xdr:grpSp>
      <xdr:nvGrpSpPr>
        <xdr:cNvPr id="785" name="Group 785"/>
        <xdr:cNvGrpSpPr>
          <a:grpSpLocks/>
        </xdr:cNvGrpSpPr>
      </xdr:nvGrpSpPr>
      <xdr:grpSpPr>
        <a:xfrm>
          <a:off x="8220075" y="1181100"/>
          <a:ext cx="381000" cy="466725"/>
          <a:chOff x="983" y="135"/>
          <a:chExt cx="40" cy="49"/>
        </a:xfrm>
        <a:solidFill>
          <a:srgbClr val="FFFFFF"/>
        </a:solidFill>
      </xdr:grpSpPr>
      <xdr:sp>
        <xdr:nvSpPr>
          <xdr:cNvPr id="786" name="AutoShape 786"/>
          <xdr:cNvSpPr>
            <a:spLocks/>
          </xdr:cNvSpPr>
        </xdr:nvSpPr>
        <xdr:spPr>
          <a:xfrm rot="3605222">
            <a:off x="983" y="135"/>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7" name="Line 787"/>
          <xdr:cNvSpPr>
            <a:spLocks/>
          </xdr:cNvSpPr>
        </xdr:nvSpPr>
        <xdr:spPr>
          <a:xfrm rot="1805028">
            <a:off x="998" y="161"/>
            <a:ext cx="0" cy="13"/>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8" name="Arc 788"/>
          <xdr:cNvSpPr>
            <a:spLocks/>
          </xdr:cNvSpPr>
        </xdr:nvSpPr>
        <xdr:spPr>
          <a:xfrm rot="19124930">
            <a:off x="985" y="164"/>
            <a:ext cx="17" cy="20"/>
          </a:xfrm>
          <a:prstGeom prst="arc">
            <a:avLst>
              <a:gd name="adj1" fmla="val -20069518"/>
              <a:gd name="adj2" fmla="val 10323888"/>
              <a:gd name="adj3" fmla="val 41342"/>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789" name="Group 789"/>
          <xdr:cNvGrpSpPr>
            <a:grpSpLocks/>
          </xdr:cNvGrpSpPr>
        </xdr:nvGrpSpPr>
        <xdr:grpSpPr>
          <a:xfrm>
            <a:off x="1003" y="151"/>
            <a:ext cx="15" cy="15"/>
            <a:chOff x="690" y="111"/>
            <a:chExt cx="15" cy="15"/>
          </a:xfrm>
          <a:solidFill>
            <a:srgbClr val="FFFFFF"/>
          </a:solidFill>
        </xdr:grpSpPr>
        <xdr:sp>
          <xdr:nvSpPr>
            <xdr:cNvPr id="790" name="Oval 790"/>
            <xdr:cNvSpPr>
              <a:spLocks/>
            </xdr:cNvSpPr>
          </xdr:nvSpPr>
          <xdr:spPr>
            <a:xfrm>
              <a:off x="693" y="115"/>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791" name="Oval 791"/>
            <xdr:cNvSpPr>
              <a:spLocks/>
            </xdr:cNvSpPr>
          </xdr:nvSpPr>
          <xdr:spPr>
            <a:xfrm>
              <a:off x="690" y="11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1</a:t>
              </a:r>
            </a:p>
          </xdr:txBody>
        </xdr:sp>
      </xdr:grpSp>
      <xdr:sp>
        <xdr:nvSpPr>
          <xdr:cNvPr id="792" name="Oval 792"/>
          <xdr:cNvSpPr>
            <a:spLocks/>
          </xdr:cNvSpPr>
        </xdr:nvSpPr>
        <xdr:spPr>
          <a:xfrm>
            <a:off x="988" y="142"/>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3</a:t>
            </a:r>
          </a:p>
        </xdr:txBody>
      </xdr:sp>
    </xdr:grpSp>
    <xdr:clientData/>
  </xdr:twoCellAnchor>
  <xdr:twoCellAnchor editAs="absolute">
    <xdr:from>
      <xdr:col>26</xdr:col>
      <xdr:colOff>95250</xdr:colOff>
      <xdr:row>7</xdr:row>
      <xdr:rowOff>0</xdr:rowOff>
    </xdr:from>
    <xdr:to>
      <xdr:col>28</xdr:col>
      <xdr:colOff>152400</xdr:colOff>
      <xdr:row>9</xdr:row>
      <xdr:rowOff>38100</xdr:rowOff>
    </xdr:to>
    <xdr:grpSp>
      <xdr:nvGrpSpPr>
        <xdr:cNvPr id="793" name="Group 793"/>
        <xdr:cNvGrpSpPr>
          <a:grpSpLocks/>
        </xdr:cNvGrpSpPr>
      </xdr:nvGrpSpPr>
      <xdr:grpSpPr>
        <a:xfrm rot="16200000">
          <a:off x="5048250" y="1143000"/>
          <a:ext cx="438150" cy="381000"/>
          <a:chOff x="978" y="39"/>
          <a:chExt cx="40" cy="46"/>
        </a:xfrm>
        <a:solidFill>
          <a:srgbClr val="FFFFFF"/>
        </a:solidFill>
      </xdr:grpSpPr>
      <xdr:sp>
        <xdr:nvSpPr>
          <xdr:cNvPr id="794" name="AutoShape 794"/>
          <xdr:cNvSpPr>
            <a:spLocks/>
          </xdr:cNvSpPr>
        </xdr:nvSpPr>
        <xdr:spPr>
          <a:xfrm rot="3640816">
            <a:off x="978" y="39"/>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5" name="Line 795"/>
          <xdr:cNvSpPr>
            <a:spLocks/>
          </xdr:cNvSpPr>
        </xdr:nvSpPr>
        <xdr:spPr>
          <a:xfrm>
            <a:off x="998" y="42"/>
            <a:ext cx="0" cy="2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6" name="Line 796"/>
          <xdr:cNvSpPr>
            <a:spLocks/>
          </xdr:cNvSpPr>
        </xdr:nvSpPr>
        <xdr:spPr>
          <a:xfrm>
            <a:off x="998" y="61"/>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7" name="Oval 797"/>
          <xdr:cNvSpPr>
            <a:spLocks/>
          </xdr:cNvSpPr>
        </xdr:nvSpPr>
        <xdr:spPr>
          <a:xfrm>
            <a:off x="993" y="56"/>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798" name="Group 798"/>
          <xdr:cNvGrpSpPr>
            <a:grpSpLocks/>
          </xdr:cNvGrpSpPr>
        </xdr:nvGrpSpPr>
        <xdr:grpSpPr>
          <a:xfrm>
            <a:off x="986" y="66"/>
            <a:ext cx="15" cy="15"/>
            <a:chOff x="663" y="56"/>
            <a:chExt cx="15" cy="15"/>
          </a:xfrm>
          <a:solidFill>
            <a:srgbClr val="FFFFFF"/>
          </a:solidFill>
        </xdr:grpSpPr>
        <xdr:sp>
          <xdr:nvSpPr>
            <xdr:cNvPr id="799" name="Oval 799"/>
            <xdr:cNvSpPr>
              <a:spLocks/>
            </xdr:cNvSpPr>
          </xdr:nvSpPr>
          <xdr:spPr>
            <a:xfrm>
              <a:off x="665" y="59"/>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800" name="Oval 800"/>
            <xdr:cNvSpPr>
              <a:spLocks/>
            </xdr:cNvSpPr>
          </xdr:nvSpPr>
          <xdr:spPr>
            <a:xfrm>
              <a:off x="663" y="56"/>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a:t>
              </a:r>
            </a:p>
          </xdr:txBody>
        </xdr:sp>
      </xdr:grpSp>
      <xdr:sp>
        <xdr:nvSpPr>
          <xdr:cNvPr id="801" name="Oval 801"/>
          <xdr:cNvSpPr>
            <a:spLocks/>
          </xdr:cNvSpPr>
        </xdr:nvSpPr>
        <xdr:spPr>
          <a:xfrm>
            <a:off x="982" y="4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6</a:t>
            </a:r>
          </a:p>
        </xdr:txBody>
      </xdr:sp>
    </xdr:grpSp>
    <xdr:clientData/>
  </xdr:twoCellAnchor>
  <xdr:twoCellAnchor editAs="absolute">
    <xdr:from>
      <xdr:col>24</xdr:col>
      <xdr:colOff>85725</xdr:colOff>
      <xdr:row>4</xdr:row>
      <xdr:rowOff>114300</xdr:rowOff>
    </xdr:from>
    <xdr:to>
      <xdr:col>26</xdr:col>
      <xdr:colOff>142875</xdr:colOff>
      <xdr:row>6</xdr:row>
      <xdr:rowOff>152400</xdr:rowOff>
    </xdr:to>
    <xdr:grpSp>
      <xdr:nvGrpSpPr>
        <xdr:cNvPr id="802" name="Group 802"/>
        <xdr:cNvGrpSpPr>
          <a:grpSpLocks/>
        </xdr:cNvGrpSpPr>
      </xdr:nvGrpSpPr>
      <xdr:grpSpPr>
        <a:xfrm rot="5359727">
          <a:off x="4657725" y="742950"/>
          <a:ext cx="438150" cy="381000"/>
          <a:chOff x="984" y="40"/>
          <a:chExt cx="40" cy="46"/>
        </a:xfrm>
        <a:solidFill>
          <a:srgbClr val="FFFFFF"/>
        </a:solidFill>
      </xdr:grpSpPr>
      <xdr:sp>
        <xdr:nvSpPr>
          <xdr:cNvPr id="803" name="Oval 803"/>
          <xdr:cNvSpPr>
            <a:spLocks/>
          </xdr:cNvSpPr>
        </xdr:nvSpPr>
        <xdr:spPr>
          <a:xfrm rot="3734566">
            <a:off x="997" y="59"/>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4" name="AutoShape 804"/>
          <xdr:cNvSpPr>
            <a:spLocks/>
          </xdr:cNvSpPr>
        </xdr:nvSpPr>
        <xdr:spPr>
          <a:xfrm rot="7200000">
            <a:off x="984" y="40"/>
            <a:ext cx="40" cy="46"/>
          </a:xfrm>
          <a:prstGeom prst="hexagon">
            <a:avLst/>
          </a:prstGeom>
          <a:solidFill>
            <a:srgbClr val="FFCC00"/>
          </a:solidFill>
          <a:ln w="9525" cmpd="sng">
            <a:solidFill>
              <a:srgbClr val="000000"/>
            </a:solidFill>
            <a:headEnd type="none"/>
            <a:tailEnd type="none"/>
          </a:ln>
        </xdr:spPr>
        <xdr:txBody>
          <a:bodyPr vertOverflow="clip" wrap="square" lIns="0" tIns="0" rIns="0" bIns="0"/>
          <a:p>
            <a:pPr algn="l">
              <a:defRPr/>
            </a:pPr>
            <a:r>
              <a:rPr lang="en-US" cap="none" sz="300" b="0" i="0" u="none" baseline="0">
                <a:latin typeface="ＭＳ Ｐゴシック"/>
                <a:ea typeface="ＭＳ Ｐゴシック"/>
                <a:cs typeface="ＭＳ Ｐゴシック"/>
              </a:rPr>
              <a:t/>
            </a:r>
          </a:p>
        </xdr:txBody>
      </xdr:sp>
      <xdr:sp>
        <xdr:nvSpPr>
          <xdr:cNvPr id="805" name="Line 805"/>
          <xdr:cNvSpPr>
            <a:spLocks/>
          </xdr:cNvSpPr>
        </xdr:nvSpPr>
        <xdr:spPr>
          <a:xfrm rot="3525745">
            <a:off x="1002" y="57"/>
            <a:ext cx="2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6" name="Line 806"/>
          <xdr:cNvSpPr>
            <a:spLocks/>
          </xdr:cNvSpPr>
        </xdr:nvSpPr>
        <xdr:spPr>
          <a:xfrm rot="3525745">
            <a:off x="999" y="64"/>
            <a:ext cx="10" cy="17"/>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7" name="Oval 807"/>
          <xdr:cNvSpPr>
            <a:spLocks/>
          </xdr:cNvSpPr>
        </xdr:nvSpPr>
        <xdr:spPr>
          <a:xfrm rot="3525745">
            <a:off x="998" y="56"/>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8" name="Oval 808"/>
          <xdr:cNvSpPr>
            <a:spLocks/>
          </xdr:cNvSpPr>
        </xdr:nvSpPr>
        <xdr:spPr>
          <a:xfrm>
            <a:off x="1011" y="63"/>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809" name="Oval 809"/>
          <xdr:cNvSpPr>
            <a:spLocks/>
          </xdr:cNvSpPr>
        </xdr:nvSpPr>
        <xdr:spPr>
          <a:xfrm>
            <a:off x="1009" y="60"/>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3</a:t>
            </a:r>
          </a:p>
        </xdr:txBody>
      </xdr:sp>
      <xdr:sp>
        <xdr:nvSpPr>
          <xdr:cNvPr id="810" name="Oval 810"/>
          <xdr:cNvSpPr>
            <a:spLocks/>
          </xdr:cNvSpPr>
        </xdr:nvSpPr>
        <xdr:spPr>
          <a:xfrm>
            <a:off x="1003" y="4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Y</a:t>
            </a:r>
          </a:p>
        </xdr:txBody>
      </xdr:sp>
      <xdr:sp>
        <xdr:nvSpPr>
          <xdr:cNvPr id="811" name="Oval 811"/>
          <xdr:cNvSpPr>
            <a:spLocks/>
          </xdr:cNvSpPr>
        </xdr:nvSpPr>
        <xdr:spPr>
          <a:xfrm>
            <a:off x="989" y="41"/>
            <a:ext cx="18" cy="20"/>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202</a:t>
            </a:r>
          </a:p>
        </xdr:txBody>
      </xdr:sp>
      <xdr:sp>
        <xdr:nvSpPr>
          <xdr:cNvPr id="812" name="Oval 812"/>
          <xdr:cNvSpPr>
            <a:spLocks/>
          </xdr:cNvSpPr>
        </xdr:nvSpPr>
        <xdr:spPr>
          <a:xfrm>
            <a:off x="988" y="65"/>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尼</a:t>
            </a:r>
          </a:p>
        </xdr:txBody>
      </xdr:sp>
    </xdr:grpSp>
    <xdr:clientData/>
  </xdr:twoCellAnchor>
  <xdr:twoCellAnchor editAs="absolute">
    <xdr:from>
      <xdr:col>39</xdr:col>
      <xdr:colOff>38100</xdr:colOff>
      <xdr:row>6</xdr:row>
      <xdr:rowOff>47625</xdr:rowOff>
    </xdr:from>
    <xdr:to>
      <xdr:col>41</xdr:col>
      <xdr:colOff>38100</xdr:colOff>
      <xdr:row>9</xdr:row>
      <xdr:rowOff>47625</xdr:rowOff>
    </xdr:to>
    <xdr:grpSp>
      <xdr:nvGrpSpPr>
        <xdr:cNvPr id="813" name="Group 813"/>
        <xdr:cNvGrpSpPr>
          <a:grpSpLocks/>
        </xdr:cNvGrpSpPr>
      </xdr:nvGrpSpPr>
      <xdr:grpSpPr>
        <a:xfrm>
          <a:off x="7467600" y="1019175"/>
          <a:ext cx="381000" cy="514350"/>
          <a:chOff x="998" y="50"/>
          <a:chExt cx="40" cy="54"/>
        </a:xfrm>
        <a:solidFill>
          <a:srgbClr val="FFFFFF"/>
        </a:solidFill>
      </xdr:grpSpPr>
      <xdr:sp>
        <xdr:nvSpPr>
          <xdr:cNvPr id="814" name="AutoShape 814"/>
          <xdr:cNvSpPr>
            <a:spLocks/>
          </xdr:cNvSpPr>
        </xdr:nvSpPr>
        <xdr:spPr>
          <a:xfrm rot="3640816">
            <a:off x="998" y="50"/>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5" name="Arc 815"/>
          <xdr:cNvSpPr>
            <a:spLocks/>
          </xdr:cNvSpPr>
        </xdr:nvSpPr>
        <xdr:spPr>
          <a:xfrm rot="18208223">
            <a:off x="999" y="72"/>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6" name="Line 816"/>
          <xdr:cNvSpPr>
            <a:spLocks/>
          </xdr:cNvSpPr>
        </xdr:nvSpPr>
        <xdr:spPr>
          <a:xfrm rot="20921403">
            <a:off x="1007" y="72"/>
            <a:ext cx="1" cy="13"/>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7" name="Line 817"/>
          <xdr:cNvSpPr>
            <a:spLocks/>
          </xdr:cNvSpPr>
        </xdr:nvSpPr>
        <xdr:spPr>
          <a:xfrm rot="5400000">
            <a:off x="1017" y="57"/>
            <a:ext cx="0" cy="13"/>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8" name="Rectangle 818"/>
          <xdr:cNvSpPr>
            <a:spLocks/>
          </xdr:cNvSpPr>
        </xdr:nvSpPr>
        <xdr:spPr>
          <a:xfrm>
            <a:off x="1014" y="72"/>
            <a:ext cx="8" cy="10"/>
          </a:xfrm>
          <a:prstGeom prst="rect">
            <a:avLst/>
          </a:prstGeom>
          <a:solidFill>
            <a:srgbClr val="FFCC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9" name="Line 819"/>
          <xdr:cNvSpPr>
            <a:spLocks/>
          </xdr:cNvSpPr>
        </xdr:nvSpPr>
        <xdr:spPr>
          <a:xfrm>
            <a:off x="1018" y="53"/>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820" name="Group 820"/>
          <xdr:cNvGrpSpPr>
            <a:grpSpLocks/>
          </xdr:cNvGrpSpPr>
        </xdr:nvGrpSpPr>
        <xdr:grpSpPr>
          <a:xfrm>
            <a:off x="1021" y="62"/>
            <a:ext cx="15" cy="15"/>
            <a:chOff x="690" y="111"/>
            <a:chExt cx="15" cy="15"/>
          </a:xfrm>
          <a:solidFill>
            <a:srgbClr val="FFFFFF"/>
          </a:solidFill>
        </xdr:grpSpPr>
        <xdr:sp>
          <xdr:nvSpPr>
            <xdr:cNvPr id="821" name="Oval 821"/>
            <xdr:cNvSpPr>
              <a:spLocks/>
            </xdr:cNvSpPr>
          </xdr:nvSpPr>
          <xdr:spPr>
            <a:xfrm>
              <a:off x="693" y="115"/>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822" name="Oval 822"/>
            <xdr:cNvSpPr>
              <a:spLocks/>
            </xdr:cNvSpPr>
          </xdr:nvSpPr>
          <xdr:spPr>
            <a:xfrm>
              <a:off x="690" y="11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1</a:t>
              </a:r>
            </a:p>
          </xdr:txBody>
        </xdr:sp>
      </xdr:grpSp>
      <xdr:sp>
        <xdr:nvSpPr>
          <xdr:cNvPr id="823" name="Oval 823"/>
          <xdr:cNvSpPr>
            <a:spLocks/>
          </xdr:cNvSpPr>
        </xdr:nvSpPr>
        <xdr:spPr>
          <a:xfrm>
            <a:off x="999" y="57"/>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69</a:t>
            </a:r>
          </a:p>
        </xdr:txBody>
      </xdr:sp>
    </xdr:grpSp>
    <xdr:clientData/>
  </xdr:twoCellAnchor>
  <xdr:twoCellAnchor editAs="absolute">
    <xdr:from>
      <xdr:col>41</xdr:col>
      <xdr:colOff>57150</xdr:colOff>
      <xdr:row>8</xdr:row>
      <xdr:rowOff>133350</xdr:rowOff>
    </xdr:from>
    <xdr:to>
      <xdr:col>44</xdr:col>
      <xdr:colOff>38100</xdr:colOff>
      <xdr:row>11</xdr:row>
      <xdr:rowOff>85725</xdr:rowOff>
    </xdr:to>
    <xdr:grpSp>
      <xdr:nvGrpSpPr>
        <xdr:cNvPr id="824" name="Group 824"/>
        <xdr:cNvGrpSpPr>
          <a:grpSpLocks/>
        </xdr:cNvGrpSpPr>
      </xdr:nvGrpSpPr>
      <xdr:grpSpPr>
        <a:xfrm>
          <a:off x="7867650" y="1447800"/>
          <a:ext cx="552450" cy="466725"/>
          <a:chOff x="994" y="72"/>
          <a:chExt cx="58" cy="49"/>
        </a:xfrm>
        <a:solidFill>
          <a:srgbClr val="FFFFFF"/>
        </a:solidFill>
      </xdr:grpSpPr>
      <xdr:sp>
        <xdr:nvSpPr>
          <xdr:cNvPr id="825" name="AutoShape 825"/>
          <xdr:cNvSpPr>
            <a:spLocks/>
          </xdr:cNvSpPr>
        </xdr:nvSpPr>
        <xdr:spPr>
          <a:xfrm rot="7200000">
            <a:off x="1002" y="75"/>
            <a:ext cx="40" cy="46"/>
          </a:xfrm>
          <a:prstGeom prst="hexagon">
            <a:avLst/>
          </a:prstGeom>
          <a:solidFill>
            <a:srgbClr val="FFCC00"/>
          </a:solidFill>
          <a:ln w="952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sp>
        <xdr:nvSpPr>
          <xdr:cNvPr id="826" name="Arc 826"/>
          <xdr:cNvSpPr>
            <a:spLocks/>
          </xdr:cNvSpPr>
        </xdr:nvSpPr>
        <xdr:spPr>
          <a:xfrm rot="3784636">
            <a:off x="994" y="72"/>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7" name="Arc 827"/>
          <xdr:cNvSpPr>
            <a:spLocks/>
          </xdr:cNvSpPr>
        </xdr:nvSpPr>
        <xdr:spPr>
          <a:xfrm rot="10568188" flipV="1">
            <a:off x="1020" y="87"/>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8" name="Line 828"/>
          <xdr:cNvSpPr>
            <a:spLocks/>
          </xdr:cNvSpPr>
        </xdr:nvSpPr>
        <xdr:spPr>
          <a:xfrm rot="6465065">
            <a:off x="1013" y="87"/>
            <a:ext cx="13"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9" name="Line 829"/>
          <xdr:cNvSpPr>
            <a:spLocks/>
          </xdr:cNvSpPr>
        </xdr:nvSpPr>
        <xdr:spPr>
          <a:xfrm rot="6465065">
            <a:off x="1014" y="111"/>
            <a:ext cx="13"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830" name="Group 830"/>
          <xdr:cNvGrpSpPr>
            <a:grpSpLocks/>
          </xdr:cNvGrpSpPr>
        </xdr:nvGrpSpPr>
        <xdr:grpSpPr>
          <a:xfrm rot="7200000">
            <a:off x="1013" y="91"/>
            <a:ext cx="15" cy="15"/>
            <a:chOff x="690" y="111"/>
            <a:chExt cx="15" cy="15"/>
          </a:xfrm>
          <a:solidFill>
            <a:srgbClr val="FFFFFF"/>
          </a:solidFill>
        </xdr:grpSpPr>
        <xdr:sp>
          <xdr:nvSpPr>
            <xdr:cNvPr id="831" name="Oval 831"/>
            <xdr:cNvSpPr>
              <a:spLocks/>
            </xdr:cNvSpPr>
          </xdr:nvSpPr>
          <xdr:spPr>
            <a:xfrm>
              <a:off x="693" y="115"/>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832" name="Oval 832"/>
            <xdr:cNvSpPr>
              <a:spLocks/>
            </xdr:cNvSpPr>
          </xdr:nvSpPr>
          <xdr:spPr>
            <a:xfrm>
              <a:off x="690" y="11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1</a:t>
              </a:r>
            </a:p>
          </xdr:txBody>
        </xdr:sp>
      </xdr:grpSp>
      <xdr:sp>
        <xdr:nvSpPr>
          <xdr:cNvPr id="833" name="Oval 833"/>
          <xdr:cNvSpPr>
            <a:spLocks/>
          </xdr:cNvSpPr>
        </xdr:nvSpPr>
        <xdr:spPr>
          <a:xfrm>
            <a:off x="1003" y="84"/>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1</a:t>
            </a:r>
          </a:p>
        </xdr:txBody>
      </xdr:sp>
    </xdr:grpSp>
    <xdr:clientData/>
  </xdr:twoCellAnchor>
  <xdr:twoCellAnchor editAs="absolute">
    <xdr:from>
      <xdr:col>29</xdr:col>
      <xdr:colOff>85725</xdr:colOff>
      <xdr:row>23</xdr:row>
      <xdr:rowOff>114300</xdr:rowOff>
    </xdr:from>
    <xdr:to>
      <xdr:col>31</xdr:col>
      <xdr:colOff>85725</xdr:colOff>
      <xdr:row>26</xdr:row>
      <xdr:rowOff>38100</xdr:rowOff>
    </xdr:to>
    <xdr:grpSp>
      <xdr:nvGrpSpPr>
        <xdr:cNvPr id="834" name="Group 834"/>
        <xdr:cNvGrpSpPr>
          <a:grpSpLocks/>
        </xdr:cNvGrpSpPr>
      </xdr:nvGrpSpPr>
      <xdr:grpSpPr>
        <a:xfrm rot="1800000">
          <a:off x="5610225" y="4000500"/>
          <a:ext cx="381000" cy="438150"/>
          <a:chOff x="1006" y="66"/>
          <a:chExt cx="40" cy="46"/>
        </a:xfrm>
        <a:solidFill>
          <a:srgbClr val="FFFFFF"/>
        </a:solidFill>
      </xdr:grpSpPr>
      <xdr:sp>
        <xdr:nvSpPr>
          <xdr:cNvPr id="835" name="AutoShape 835"/>
          <xdr:cNvSpPr>
            <a:spLocks/>
          </xdr:cNvSpPr>
        </xdr:nvSpPr>
        <xdr:spPr>
          <a:xfrm rot="3604144">
            <a:off x="1006" y="66"/>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6" name="Line 836"/>
          <xdr:cNvSpPr>
            <a:spLocks/>
          </xdr:cNvSpPr>
        </xdr:nvSpPr>
        <xdr:spPr>
          <a:xfrm rot="21563327">
            <a:off x="1026" y="69"/>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7" name="Oval 837"/>
          <xdr:cNvSpPr>
            <a:spLocks/>
          </xdr:cNvSpPr>
        </xdr:nvSpPr>
        <xdr:spPr>
          <a:xfrm rot="21563327">
            <a:off x="1020" y="82"/>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838" name="Group 838"/>
          <xdr:cNvGrpSpPr>
            <a:grpSpLocks/>
          </xdr:cNvGrpSpPr>
        </xdr:nvGrpSpPr>
        <xdr:grpSpPr>
          <a:xfrm>
            <a:off x="1011" y="71"/>
            <a:ext cx="15" cy="15"/>
            <a:chOff x="663" y="56"/>
            <a:chExt cx="15" cy="15"/>
          </a:xfrm>
          <a:solidFill>
            <a:srgbClr val="FFFFFF"/>
          </a:solidFill>
        </xdr:grpSpPr>
        <xdr:sp>
          <xdr:nvSpPr>
            <xdr:cNvPr id="839" name="Oval 839"/>
            <xdr:cNvSpPr>
              <a:spLocks/>
            </xdr:cNvSpPr>
          </xdr:nvSpPr>
          <xdr:spPr>
            <a:xfrm>
              <a:off x="665" y="59"/>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840" name="Oval 840"/>
            <xdr:cNvSpPr>
              <a:spLocks/>
            </xdr:cNvSpPr>
          </xdr:nvSpPr>
          <xdr:spPr>
            <a:xfrm>
              <a:off x="663" y="56"/>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a:t>
              </a:r>
            </a:p>
          </xdr:txBody>
        </xdr:sp>
      </xdr:grpSp>
      <xdr:sp>
        <xdr:nvSpPr>
          <xdr:cNvPr id="841" name="Oval 841"/>
          <xdr:cNvSpPr>
            <a:spLocks/>
          </xdr:cNvSpPr>
        </xdr:nvSpPr>
        <xdr:spPr>
          <a:xfrm>
            <a:off x="1027" y="9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57</a:t>
            </a:r>
          </a:p>
        </xdr:txBody>
      </xdr:sp>
    </xdr:grpSp>
    <xdr:clientData/>
  </xdr:twoCellAnchor>
  <xdr:twoCellAnchor editAs="absolute">
    <xdr:from>
      <xdr:col>37</xdr:col>
      <xdr:colOff>180975</xdr:colOff>
      <xdr:row>9</xdr:row>
      <xdr:rowOff>0</xdr:rowOff>
    </xdr:from>
    <xdr:to>
      <xdr:col>40</xdr:col>
      <xdr:colOff>47625</xdr:colOff>
      <xdr:row>11</xdr:row>
      <xdr:rowOff>95250</xdr:rowOff>
    </xdr:to>
    <xdr:grpSp>
      <xdr:nvGrpSpPr>
        <xdr:cNvPr id="842" name="Group 842"/>
        <xdr:cNvGrpSpPr>
          <a:grpSpLocks/>
        </xdr:cNvGrpSpPr>
      </xdr:nvGrpSpPr>
      <xdr:grpSpPr>
        <a:xfrm>
          <a:off x="7229475" y="1485900"/>
          <a:ext cx="438150" cy="438150"/>
          <a:chOff x="996" y="47"/>
          <a:chExt cx="46" cy="46"/>
        </a:xfrm>
        <a:solidFill>
          <a:srgbClr val="FFFFFF"/>
        </a:solidFill>
      </xdr:grpSpPr>
      <xdr:sp>
        <xdr:nvSpPr>
          <xdr:cNvPr id="843" name="AutoShape 843"/>
          <xdr:cNvSpPr>
            <a:spLocks/>
          </xdr:cNvSpPr>
        </xdr:nvSpPr>
        <xdr:spPr>
          <a:xfrm rot="21643110">
            <a:off x="996" y="48"/>
            <a:ext cx="46" cy="40"/>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4" name="Line 844"/>
          <xdr:cNvSpPr>
            <a:spLocks/>
          </xdr:cNvSpPr>
        </xdr:nvSpPr>
        <xdr:spPr>
          <a:xfrm rot="18002292">
            <a:off x="1008" y="51"/>
            <a:ext cx="21"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5" name="Line 845"/>
          <xdr:cNvSpPr>
            <a:spLocks/>
          </xdr:cNvSpPr>
        </xdr:nvSpPr>
        <xdr:spPr>
          <a:xfrm rot="19886601">
            <a:off x="1009" y="66"/>
            <a:ext cx="0" cy="13"/>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6" name="Line 846"/>
          <xdr:cNvSpPr>
            <a:spLocks/>
          </xdr:cNvSpPr>
        </xdr:nvSpPr>
        <xdr:spPr>
          <a:xfrm rot="19805028">
            <a:off x="1024" y="72"/>
            <a:ext cx="0" cy="13"/>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7" name="Arc 847"/>
          <xdr:cNvSpPr>
            <a:spLocks/>
          </xdr:cNvSpPr>
        </xdr:nvSpPr>
        <xdr:spPr>
          <a:xfrm rot="15524930">
            <a:off x="1018" y="76"/>
            <a:ext cx="20" cy="17"/>
          </a:xfrm>
          <a:prstGeom prst="arc">
            <a:avLst>
              <a:gd name="adj1" fmla="val -20069518"/>
              <a:gd name="adj2" fmla="val 10323888"/>
              <a:gd name="adj3" fmla="val 41342"/>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848" name="Group 848"/>
          <xdr:cNvGrpSpPr>
            <a:grpSpLocks/>
          </xdr:cNvGrpSpPr>
        </xdr:nvGrpSpPr>
        <xdr:grpSpPr>
          <a:xfrm rot="1800000">
            <a:off x="1008" y="72"/>
            <a:ext cx="15" cy="15"/>
            <a:chOff x="690" y="111"/>
            <a:chExt cx="15" cy="15"/>
          </a:xfrm>
          <a:solidFill>
            <a:srgbClr val="FFFFFF"/>
          </a:solidFill>
        </xdr:grpSpPr>
        <xdr:sp>
          <xdr:nvSpPr>
            <xdr:cNvPr id="849" name="Oval 849"/>
            <xdr:cNvSpPr>
              <a:spLocks/>
            </xdr:cNvSpPr>
          </xdr:nvSpPr>
          <xdr:spPr>
            <a:xfrm>
              <a:off x="693" y="115"/>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850" name="Oval 850"/>
            <xdr:cNvSpPr>
              <a:spLocks/>
            </xdr:cNvSpPr>
          </xdr:nvSpPr>
          <xdr:spPr>
            <a:xfrm>
              <a:off x="690" y="11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1</a:t>
              </a:r>
            </a:p>
          </xdr:txBody>
        </xdr:sp>
      </xdr:grpSp>
      <xdr:sp>
        <xdr:nvSpPr>
          <xdr:cNvPr id="851" name="Oval 851"/>
          <xdr:cNvSpPr>
            <a:spLocks/>
          </xdr:cNvSpPr>
        </xdr:nvSpPr>
        <xdr:spPr>
          <a:xfrm>
            <a:off x="1004" y="47"/>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a:t>
            </a:r>
          </a:p>
        </xdr:txBody>
      </xdr:sp>
    </xdr:grpSp>
    <xdr:clientData/>
  </xdr:twoCellAnchor>
  <xdr:twoCellAnchor editAs="absolute">
    <xdr:from>
      <xdr:col>39</xdr:col>
      <xdr:colOff>180975</xdr:colOff>
      <xdr:row>8</xdr:row>
      <xdr:rowOff>38100</xdr:rowOff>
    </xdr:from>
    <xdr:to>
      <xdr:col>42</xdr:col>
      <xdr:colOff>66675</xdr:colOff>
      <xdr:row>11</xdr:row>
      <xdr:rowOff>38100</xdr:rowOff>
    </xdr:to>
    <xdr:grpSp>
      <xdr:nvGrpSpPr>
        <xdr:cNvPr id="852" name="Group 852"/>
        <xdr:cNvGrpSpPr>
          <a:grpSpLocks/>
        </xdr:cNvGrpSpPr>
      </xdr:nvGrpSpPr>
      <xdr:grpSpPr>
        <a:xfrm>
          <a:off x="7610475" y="1352550"/>
          <a:ext cx="457200" cy="514350"/>
          <a:chOff x="1007" y="77"/>
          <a:chExt cx="48" cy="54"/>
        </a:xfrm>
        <a:solidFill>
          <a:srgbClr val="FFFFFF"/>
        </a:solidFill>
      </xdr:grpSpPr>
      <xdr:sp>
        <xdr:nvSpPr>
          <xdr:cNvPr id="853" name="AutoShape 853"/>
          <xdr:cNvSpPr>
            <a:spLocks/>
          </xdr:cNvSpPr>
        </xdr:nvSpPr>
        <xdr:spPr>
          <a:xfrm rot="3640816">
            <a:off x="1007" y="77"/>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4" name="Arc 854"/>
          <xdr:cNvSpPr>
            <a:spLocks/>
          </xdr:cNvSpPr>
        </xdr:nvSpPr>
        <xdr:spPr>
          <a:xfrm rot="18208223">
            <a:off x="1008" y="99"/>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5" name="Line 855"/>
          <xdr:cNvSpPr>
            <a:spLocks/>
          </xdr:cNvSpPr>
        </xdr:nvSpPr>
        <xdr:spPr>
          <a:xfrm rot="20921403">
            <a:off x="1016" y="99"/>
            <a:ext cx="1" cy="13"/>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6" name="Rectangle 856"/>
          <xdr:cNvSpPr>
            <a:spLocks/>
          </xdr:cNvSpPr>
        </xdr:nvSpPr>
        <xdr:spPr>
          <a:xfrm rot="1452788">
            <a:off x="1025" y="100"/>
            <a:ext cx="8" cy="10"/>
          </a:xfrm>
          <a:prstGeom prst="rect">
            <a:avLst/>
          </a:prstGeom>
          <a:solidFill>
            <a:srgbClr val="FFCC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7" name="Arc 857"/>
          <xdr:cNvSpPr>
            <a:spLocks/>
          </xdr:cNvSpPr>
        </xdr:nvSpPr>
        <xdr:spPr>
          <a:xfrm rot="14533253">
            <a:off x="1023" y="93"/>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8" name="Line 858"/>
          <xdr:cNvSpPr>
            <a:spLocks/>
          </xdr:cNvSpPr>
        </xdr:nvSpPr>
        <xdr:spPr>
          <a:xfrm rot="19122257">
            <a:off x="1036" y="87"/>
            <a:ext cx="1" cy="13"/>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859" name="Group 859"/>
          <xdr:cNvGrpSpPr>
            <a:grpSpLocks/>
          </xdr:cNvGrpSpPr>
        </xdr:nvGrpSpPr>
        <xdr:grpSpPr>
          <a:xfrm>
            <a:off x="1018" y="87"/>
            <a:ext cx="15" cy="15"/>
            <a:chOff x="690" y="111"/>
            <a:chExt cx="15" cy="15"/>
          </a:xfrm>
          <a:solidFill>
            <a:srgbClr val="FFFFFF"/>
          </a:solidFill>
        </xdr:grpSpPr>
        <xdr:sp>
          <xdr:nvSpPr>
            <xdr:cNvPr id="860" name="Oval 860"/>
            <xdr:cNvSpPr>
              <a:spLocks/>
            </xdr:cNvSpPr>
          </xdr:nvSpPr>
          <xdr:spPr>
            <a:xfrm>
              <a:off x="693" y="115"/>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861" name="Oval 861"/>
            <xdr:cNvSpPr>
              <a:spLocks/>
            </xdr:cNvSpPr>
          </xdr:nvSpPr>
          <xdr:spPr>
            <a:xfrm>
              <a:off x="690" y="11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1</a:t>
              </a:r>
            </a:p>
          </xdr:txBody>
        </xdr:sp>
      </xdr:grpSp>
      <xdr:sp>
        <xdr:nvSpPr>
          <xdr:cNvPr id="862" name="Oval 862"/>
          <xdr:cNvSpPr>
            <a:spLocks/>
          </xdr:cNvSpPr>
        </xdr:nvSpPr>
        <xdr:spPr>
          <a:xfrm>
            <a:off x="1012" y="79"/>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56</a:t>
            </a:r>
          </a:p>
        </xdr:txBody>
      </xdr:sp>
    </xdr:grpSp>
    <xdr:clientData/>
  </xdr:twoCellAnchor>
  <xdr:twoCellAnchor editAs="absolute">
    <xdr:from>
      <xdr:col>33</xdr:col>
      <xdr:colOff>114300</xdr:colOff>
      <xdr:row>5</xdr:row>
      <xdr:rowOff>104775</xdr:rowOff>
    </xdr:from>
    <xdr:to>
      <xdr:col>35</xdr:col>
      <xdr:colOff>114300</xdr:colOff>
      <xdr:row>8</xdr:row>
      <xdr:rowOff>104775</xdr:rowOff>
    </xdr:to>
    <xdr:grpSp>
      <xdr:nvGrpSpPr>
        <xdr:cNvPr id="863" name="Group 863"/>
        <xdr:cNvGrpSpPr>
          <a:grpSpLocks/>
        </xdr:cNvGrpSpPr>
      </xdr:nvGrpSpPr>
      <xdr:grpSpPr>
        <a:xfrm rot="8797091">
          <a:off x="6400800" y="904875"/>
          <a:ext cx="381000" cy="514350"/>
          <a:chOff x="989" y="112"/>
          <a:chExt cx="40" cy="54"/>
        </a:xfrm>
        <a:solidFill>
          <a:srgbClr val="FFFFFF"/>
        </a:solidFill>
      </xdr:grpSpPr>
      <xdr:sp>
        <xdr:nvSpPr>
          <xdr:cNvPr id="864" name="AutoShape 864"/>
          <xdr:cNvSpPr>
            <a:spLocks/>
          </xdr:cNvSpPr>
        </xdr:nvSpPr>
        <xdr:spPr>
          <a:xfrm rot="3640816">
            <a:off x="989" y="112"/>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5" name="Arc 865"/>
          <xdr:cNvSpPr>
            <a:spLocks/>
          </xdr:cNvSpPr>
        </xdr:nvSpPr>
        <xdr:spPr>
          <a:xfrm rot="18208223">
            <a:off x="990" y="134"/>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6" name="Oval 866"/>
          <xdr:cNvSpPr>
            <a:spLocks/>
          </xdr:cNvSpPr>
        </xdr:nvSpPr>
        <xdr:spPr>
          <a:xfrm>
            <a:off x="995" y="140"/>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8</a:t>
            </a:r>
          </a:p>
        </xdr:txBody>
      </xdr:sp>
    </xdr:grpSp>
    <xdr:clientData/>
  </xdr:twoCellAnchor>
  <xdr:twoCellAnchor editAs="absolute">
    <xdr:from>
      <xdr:col>31</xdr:col>
      <xdr:colOff>66675</xdr:colOff>
      <xdr:row>3</xdr:row>
      <xdr:rowOff>9525</xdr:rowOff>
    </xdr:from>
    <xdr:to>
      <xdr:col>33</xdr:col>
      <xdr:colOff>66675</xdr:colOff>
      <xdr:row>6</xdr:row>
      <xdr:rowOff>9525</xdr:rowOff>
    </xdr:to>
    <xdr:grpSp>
      <xdr:nvGrpSpPr>
        <xdr:cNvPr id="867" name="Group 867"/>
        <xdr:cNvGrpSpPr>
          <a:grpSpLocks/>
        </xdr:cNvGrpSpPr>
      </xdr:nvGrpSpPr>
      <xdr:grpSpPr>
        <a:xfrm>
          <a:off x="5972175" y="466725"/>
          <a:ext cx="381000" cy="514350"/>
          <a:chOff x="989" y="112"/>
          <a:chExt cx="40" cy="54"/>
        </a:xfrm>
        <a:solidFill>
          <a:srgbClr val="FFFFFF"/>
        </a:solidFill>
      </xdr:grpSpPr>
      <xdr:sp>
        <xdr:nvSpPr>
          <xdr:cNvPr id="868" name="AutoShape 868"/>
          <xdr:cNvSpPr>
            <a:spLocks/>
          </xdr:cNvSpPr>
        </xdr:nvSpPr>
        <xdr:spPr>
          <a:xfrm rot="3640816">
            <a:off x="989" y="112"/>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9" name="Arc 869"/>
          <xdr:cNvSpPr>
            <a:spLocks/>
          </xdr:cNvSpPr>
        </xdr:nvSpPr>
        <xdr:spPr>
          <a:xfrm rot="18208223">
            <a:off x="990" y="134"/>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0" name="Oval 870"/>
          <xdr:cNvSpPr>
            <a:spLocks/>
          </xdr:cNvSpPr>
        </xdr:nvSpPr>
        <xdr:spPr>
          <a:xfrm>
            <a:off x="995" y="140"/>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8</a:t>
            </a:r>
          </a:p>
        </xdr:txBody>
      </xdr:sp>
    </xdr:grpSp>
    <xdr:clientData/>
  </xdr:twoCellAnchor>
  <xdr:twoCellAnchor editAs="absolute">
    <xdr:from>
      <xdr:col>32</xdr:col>
      <xdr:colOff>66675</xdr:colOff>
      <xdr:row>3</xdr:row>
      <xdr:rowOff>133350</xdr:rowOff>
    </xdr:from>
    <xdr:to>
      <xdr:col>34</xdr:col>
      <xdr:colOff>66675</xdr:colOff>
      <xdr:row>6</xdr:row>
      <xdr:rowOff>133350</xdr:rowOff>
    </xdr:to>
    <xdr:grpSp>
      <xdr:nvGrpSpPr>
        <xdr:cNvPr id="871" name="Group 871"/>
        <xdr:cNvGrpSpPr>
          <a:grpSpLocks/>
        </xdr:cNvGrpSpPr>
      </xdr:nvGrpSpPr>
      <xdr:grpSpPr>
        <a:xfrm rot="10800000">
          <a:off x="6162675" y="590550"/>
          <a:ext cx="381000" cy="514350"/>
          <a:chOff x="989" y="112"/>
          <a:chExt cx="40" cy="54"/>
        </a:xfrm>
        <a:solidFill>
          <a:srgbClr val="FFFFFF"/>
        </a:solidFill>
      </xdr:grpSpPr>
      <xdr:sp>
        <xdr:nvSpPr>
          <xdr:cNvPr id="872" name="AutoShape 872"/>
          <xdr:cNvSpPr>
            <a:spLocks/>
          </xdr:cNvSpPr>
        </xdr:nvSpPr>
        <xdr:spPr>
          <a:xfrm rot="3640816">
            <a:off x="989" y="112"/>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3" name="Arc 873"/>
          <xdr:cNvSpPr>
            <a:spLocks/>
          </xdr:cNvSpPr>
        </xdr:nvSpPr>
        <xdr:spPr>
          <a:xfrm rot="18208223">
            <a:off x="990" y="134"/>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4" name="Oval 874"/>
          <xdr:cNvSpPr>
            <a:spLocks/>
          </xdr:cNvSpPr>
        </xdr:nvSpPr>
        <xdr:spPr>
          <a:xfrm>
            <a:off x="995" y="140"/>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8</a:t>
            </a:r>
          </a:p>
        </xdr:txBody>
      </xdr:sp>
    </xdr:grpSp>
    <xdr:clientData/>
  </xdr:twoCellAnchor>
  <xdr:twoCellAnchor editAs="absolute">
    <xdr:from>
      <xdr:col>32</xdr:col>
      <xdr:colOff>180975</xdr:colOff>
      <xdr:row>4</xdr:row>
      <xdr:rowOff>114300</xdr:rowOff>
    </xdr:from>
    <xdr:to>
      <xdr:col>34</xdr:col>
      <xdr:colOff>180975</xdr:colOff>
      <xdr:row>7</xdr:row>
      <xdr:rowOff>114300</xdr:rowOff>
    </xdr:to>
    <xdr:grpSp>
      <xdr:nvGrpSpPr>
        <xdr:cNvPr id="875" name="Group 875"/>
        <xdr:cNvGrpSpPr>
          <a:grpSpLocks/>
        </xdr:cNvGrpSpPr>
      </xdr:nvGrpSpPr>
      <xdr:grpSpPr>
        <a:xfrm rot="10800000">
          <a:off x="6276975" y="742950"/>
          <a:ext cx="381000" cy="514350"/>
          <a:chOff x="989" y="112"/>
          <a:chExt cx="40" cy="54"/>
        </a:xfrm>
        <a:solidFill>
          <a:srgbClr val="FFFFFF"/>
        </a:solidFill>
      </xdr:grpSpPr>
      <xdr:sp>
        <xdr:nvSpPr>
          <xdr:cNvPr id="876" name="AutoShape 876"/>
          <xdr:cNvSpPr>
            <a:spLocks/>
          </xdr:cNvSpPr>
        </xdr:nvSpPr>
        <xdr:spPr>
          <a:xfrm rot="3640816">
            <a:off x="989" y="112"/>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7" name="Arc 877"/>
          <xdr:cNvSpPr>
            <a:spLocks/>
          </xdr:cNvSpPr>
        </xdr:nvSpPr>
        <xdr:spPr>
          <a:xfrm rot="18208223">
            <a:off x="990" y="134"/>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8" name="Oval 878"/>
          <xdr:cNvSpPr>
            <a:spLocks/>
          </xdr:cNvSpPr>
        </xdr:nvSpPr>
        <xdr:spPr>
          <a:xfrm>
            <a:off x="995" y="140"/>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8</a:t>
            </a:r>
          </a:p>
        </xdr:txBody>
      </xdr:sp>
    </xdr:grpSp>
    <xdr:clientData/>
  </xdr:twoCellAnchor>
  <xdr:twoCellAnchor editAs="absolute">
    <xdr:from>
      <xdr:col>33</xdr:col>
      <xdr:colOff>161925</xdr:colOff>
      <xdr:row>8</xdr:row>
      <xdr:rowOff>38100</xdr:rowOff>
    </xdr:from>
    <xdr:to>
      <xdr:col>36</xdr:col>
      <xdr:colOff>104775</xdr:colOff>
      <xdr:row>10</xdr:row>
      <xdr:rowOff>76200</xdr:rowOff>
    </xdr:to>
    <xdr:grpSp>
      <xdr:nvGrpSpPr>
        <xdr:cNvPr id="879" name="Group 879"/>
        <xdr:cNvGrpSpPr>
          <a:grpSpLocks/>
        </xdr:cNvGrpSpPr>
      </xdr:nvGrpSpPr>
      <xdr:grpSpPr>
        <a:xfrm rot="16200000">
          <a:off x="6448425" y="1352550"/>
          <a:ext cx="514350" cy="381000"/>
          <a:chOff x="989" y="112"/>
          <a:chExt cx="40" cy="54"/>
        </a:xfrm>
        <a:solidFill>
          <a:srgbClr val="FFFFFF"/>
        </a:solidFill>
      </xdr:grpSpPr>
      <xdr:sp>
        <xdr:nvSpPr>
          <xdr:cNvPr id="880" name="AutoShape 880"/>
          <xdr:cNvSpPr>
            <a:spLocks/>
          </xdr:cNvSpPr>
        </xdr:nvSpPr>
        <xdr:spPr>
          <a:xfrm rot="3640816">
            <a:off x="989" y="112"/>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1" name="Arc 881"/>
          <xdr:cNvSpPr>
            <a:spLocks/>
          </xdr:cNvSpPr>
        </xdr:nvSpPr>
        <xdr:spPr>
          <a:xfrm rot="18208223">
            <a:off x="990" y="134"/>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2" name="Oval 882"/>
          <xdr:cNvSpPr>
            <a:spLocks/>
          </xdr:cNvSpPr>
        </xdr:nvSpPr>
        <xdr:spPr>
          <a:xfrm>
            <a:off x="995" y="140"/>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8</a:t>
            </a:r>
          </a:p>
        </xdr:txBody>
      </xdr:sp>
    </xdr:grpSp>
    <xdr:clientData/>
  </xdr:twoCellAnchor>
  <xdr:twoCellAnchor editAs="absolute">
    <xdr:from>
      <xdr:col>17</xdr:col>
      <xdr:colOff>171450</xdr:colOff>
      <xdr:row>8</xdr:row>
      <xdr:rowOff>152400</xdr:rowOff>
    </xdr:from>
    <xdr:to>
      <xdr:col>20</xdr:col>
      <xdr:colOff>114300</xdr:colOff>
      <xdr:row>11</xdr:row>
      <xdr:rowOff>19050</xdr:rowOff>
    </xdr:to>
    <xdr:grpSp>
      <xdr:nvGrpSpPr>
        <xdr:cNvPr id="883" name="Group 883"/>
        <xdr:cNvGrpSpPr>
          <a:grpSpLocks/>
        </xdr:cNvGrpSpPr>
      </xdr:nvGrpSpPr>
      <xdr:grpSpPr>
        <a:xfrm rot="16200000">
          <a:off x="3409950" y="1466850"/>
          <a:ext cx="514350" cy="381000"/>
          <a:chOff x="989" y="112"/>
          <a:chExt cx="40" cy="54"/>
        </a:xfrm>
        <a:solidFill>
          <a:srgbClr val="FFFFFF"/>
        </a:solidFill>
      </xdr:grpSpPr>
      <xdr:sp>
        <xdr:nvSpPr>
          <xdr:cNvPr id="884" name="AutoShape 884"/>
          <xdr:cNvSpPr>
            <a:spLocks/>
          </xdr:cNvSpPr>
        </xdr:nvSpPr>
        <xdr:spPr>
          <a:xfrm rot="3640816">
            <a:off x="989" y="112"/>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5" name="Arc 885"/>
          <xdr:cNvSpPr>
            <a:spLocks/>
          </xdr:cNvSpPr>
        </xdr:nvSpPr>
        <xdr:spPr>
          <a:xfrm rot="18208223">
            <a:off x="990" y="134"/>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6" name="Oval 886"/>
          <xdr:cNvSpPr>
            <a:spLocks/>
          </xdr:cNvSpPr>
        </xdr:nvSpPr>
        <xdr:spPr>
          <a:xfrm>
            <a:off x="995" y="140"/>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8</a:t>
            </a:r>
          </a:p>
        </xdr:txBody>
      </xdr:sp>
    </xdr:grpSp>
    <xdr:clientData/>
  </xdr:twoCellAnchor>
  <xdr:twoCellAnchor editAs="absolute">
    <xdr:from>
      <xdr:col>1</xdr:col>
      <xdr:colOff>171450</xdr:colOff>
      <xdr:row>8</xdr:row>
      <xdr:rowOff>161925</xdr:rowOff>
    </xdr:from>
    <xdr:to>
      <xdr:col>4</xdr:col>
      <xdr:colOff>114300</xdr:colOff>
      <xdr:row>11</xdr:row>
      <xdr:rowOff>28575</xdr:rowOff>
    </xdr:to>
    <xdr:grpSp>
      <xdr:nvGrpSpPr>
        <xdr:cNvPr id="887" name="Group 887"/>
        <xdr:cNvGrpSpPr>
          <a:grpSpLocks/>
        </xdr:cNvGrpSpPr>
      </xdr:nvGrpSpPr>
      <xdr:grpSpPr>
        <a:xfrm rot="16200000">
          <a:off x="361950" y="1476375"/>
          <a:ext cx="514350" cy="381000"/>
          <a:chOff x="989" y="112"/>
          <a:chExt cx="40" cy="54"/>
        </a:xfrm>
        <a:solidFill>
          <a:srgbClr val="FFFFFF"/>
        </a:solidFill>
      </xdr:grpSpPr>
      <xdr:sp>
        <xdr:nvSpPr>
          <xdr:cNvPr id="888" name="AutoShape 888"/>
          <xdr:cNvSpPr>
            <a:spLocks/>
          </xdr:cNvSpPr>
        </xdr:nvSpPr>
        <xdr:spPr>
          <a:xfrm rot="3640816">
            <a:off x="989" y="112"/>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9" name="Arc 889"/>
          <xdr:cNvSpPr>
            <a:spLocks/>
          </xdr:cNvSpPr>
        </xdr:nvSpPr>
        <xdr:spPr>
          <a:xfrm rot="18208223">
            <a:off x="990" y="134"/>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0" name="Oval 890"/>
          <xdr:cNvSpPr>
            <a:spLocks/>
          </xdr:cNvSpPr>
        </xdr:nvSpPr>
        <xdr:spPr>
          <a:xfrm>
            <a:off x="995" y="140"/>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8</a:t>
            </a:r>
          </a:p>
        </xdr:txBody>
      </xdr:sp>
    </xdr:grpSp>
    <xdr:clientData/>
  </xdr:twoCellAnchor>
  <xdr:twoCellAnchor editAs="absolute">
    <xdr:from>
      <xdr:col>33</xdr:col>
      <xdr:colOff>161925</xdr:colOff>
      <xdr:row>2</xdr:row>
      <xdr:rowOff>28575</xdr:rowOff>
    </xdr:from>
    <xdr:to>
      <xdr:col>35</xdr:col>
      <xdr:colOff>161925</xdr:colOff>
      <xdr:row>4</xdr:row>
      <xdr:rowOff>123825</xdr:rowOff>
    </xdr:to>
    <xdr:grpSp>
      <xdr:nvGrpSpPr>
        <xdr:cNvPr id="891" name="Group 891"/>
        <xdr:cNvGrpSpPr>
          <a:grpSpLocks/>
        </xdr:cNvGrpSpPr>
      </xdr:nvGrpSpPr>
      <xdr:grpSpPr>
        <a:xfrm>
          <a:off x="6448425" y="314325"/>
          <a:ext cx="381000" cy="438150"/>
          <a:chOff x="997" y="66"/>
          <a:chExt cx="40" cy="46"/>
        </a:xfrm>
        <a:solidFill>
          <a:srgbClr val="FFFFFF"/>
        </a:solidFill>
      </xdr:grpSpPr>
      <xdr:sp>
        <xdr:nvSpPr>
          <xdr:cNvPr id="892" name="AutoShape 892"/>
          <xdr:cNvSpPr>
            <a:spLocks/>
          </xdr:cNvSpPr>
        </xdr:nvSpPr>
        <xdr:spPr>
          <a:xfrm rot="3604144">
            <a:off x="997" y="66"/>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3" name="Line 893"/>
          <xdr:cNvSpPr>
            <a:spLocks/>
          </xdr:cNvSpPr>
        </xdr:nvSpPr>
        <xdr:spPr>
          <a:xfrm rot="21563327">
            <a:off x="1017" y="69"/>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4" name="Oval 894"/>
          <xdr:cNvSpPr>
            <a:spLocks/>
          </xdr:cNvSpPr>
        </xdr:nvSpPr>
        <xdr:spPr>
          <a:xfrm>
            <a:off x="1017" y="92"/>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9</a:t>
            </a:r>
          </a:p>
        </xdr:txBody>
      </xdr:sp>
    </xdr:grpSp>
    <xdr:clientData/>
  </xdr:twoCellAnchor>
  <xdr:twoCellAnchor editAs="absolute">
    <xdr:from>
      <xdr:col>34</xdr:col>
      <xdr:colOff>123825</xdr:colOff>
      <xdr:row>3</xdr:row>
      <xdr:rowOff>9525</xdr:rowOff>
    </xdr:from>
    <xdr:to>
      <xdr:col>36</xdr:col>
      <xdr:colOff>123825</xdr:colOff>
      <xdr:row>5</xdr:row>
      <xdr:rowOff>104775</xdr:rowOff>
    </xdr:to>
    <xdr:grpSp>
      <xdr:nvGrpSpPr>
        <xdr:cNvPr id="895" name="Group 895"/>
        <xdr:cNvGrpSpPr>
          <a:grpSpLocks/>
        </xdr:cNvGrpSpPr>
      </xdr:nvGrpSpPr>
      <xdr:grpSpPr>
        <a:xfrm>
          <a:off x="6600825" y="466725"/>
          <a:ext cx="381000" cy="438150"/>
          <a:chOff x="997" y="66"/>
          <a:chExt cx="40" cy="46"/>
        </a:xfrm>
        <a:solidFill>
          <a:srgbClr val="FFFFFF"/>
        </a:solidFill>
      </xdr:grpSpPr>
      <xdr:sp>
        <xdr:nvSpPr>
          <xdr:cNvPr id="896" name="AutoShape 896"/>
          <xdr:cNvSpPr>
            <a:spLocks/>
          </xdr:cNvSpPr>
        </xdr:nvSpPr>
        <xdr:spPr>
          <a:xfrm rot="3604144">
            <a:off x="997" y="66"/>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7" name="Line 897"/>
          <xdr:cNvSpPr>
            <a:spLocks/>
          </xdr:cNvSpPr>
        </xdr:nvSpPr>
        <xdr:spPr>
          <a:xfrm rot="21563327">
            <a:off x="1017" y="69"/>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8" name="Oval 898"/>
          <xdr:cNvSpPr>
            <a:spLocks/>
          </xdr:cNvSpPr>
        </xdr:nvSpPr>
        <xdr:spPr>
          <a:xfrm>
            <a:off x="1017" y="92"/>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9</a:t>
            </a:r>
          </a:p>
        </xdr:txBody>
      </xdr:sp>
    </xdr:grpSp>
    <xdr:clientData/>
  </xdr:twoCellAnchor>
  <xdr:twoCellAnchor editAs="absolute">
    <xdr:from>
      <xdr:col>35</xdr:col>
      <xdr:colOff>85725</xdr:colOff>
      <xdr:row>3</xdr:row>
      <xdr:rowOff>161925</xdr:rowOff>
    </xdr:from>
    <xdr:to>
      <xdr:col>37</xdr:col>
      <xdr:colOff>85725</xdr:colOff>
      <xdr:row>6</xdr:row>
      <xdr:rowOff>85725</xdr:rowOff>
    </xdr:to>
    <xdr:grpSp>
      <xdr:nvGrpSpPr>
        <xdr:cNvPr id="899" name="Group 899"/>
        <xdr:cNvGrpSpPr>
          <a:grpSpLocks/>
        </xdr:cNvGrpSpPr>
      </xdr:nvGrpSpPr>
      <xdr:grpSpPr>
        <a:xfrm>
          <a:off x="6753225" y="619125"/>
          <a:ext cx="381000" cy="438150"/>
          <a:chOff x="997" y="66"/>
          <a:chExt cx="40" cy="46"/>
        </a:xfrm>
        <a:solidFill>
          <a:srgbClr val="FFFFFF"/>
        </a:solidFill>
      </xdr:grpSpPr>
      <xdr:sp>
        <xdr:nvSpPr>
          <xdr:cNvPr id="900" name="AutoShape 900"/>
          <xdr:cNvSpPr>
            <a:spLocks/>
          </xdr:cNvSpPr>
        </xdr:nvSpPr>
        <xdr:spPr>
          <a:xfrm rot="3604144">
            <a:off x="997" y="66"/>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1" name="Line 901"/>
          <xdr:cNvSpPr>
            <a:spLocks/>
          </xdr:cNvSpPr>
        </xdr:nvSpPr>
        <xdr:spPr>
          <a:xfrm rot="21563327">
            <a:off x="1017" y="69"/>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2" name="Oval 902"/>
          <xdr:cNvSpPr>
            <a:spLocks/>
          </xdr:cNvSpPr>
        </xdr:nvSpPr>
        <xdr:spPr>
          <a:xfrm>
            <a:off x="1017" y="92"/>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9</a:t>
            </a:r>
          </a:p>
        </xdr:txBody>
      </xdr:sp>
    </xdr:grpSp>
    <xdr:clientData/>
  </xdr:twoCellAnchor>
  <xdr:twoCellAnchor editAs="absolute">
    <xdr:from>
      <xdr:col>35</xdr:col>
      <xdr:colOff>161925</xdr:colOff>
      <xdr:row>4</xdr:row>
      <xdr:rowOff>123825</xdr:rowOff>
    </xdr:from>
    <xdr:to>
      <xdr:col>37</xdr:col>
      <xdr:colOff>161925</xdr:colOff>
      <xdr:row>7</xdr:row>
      <xdr:rowOff>47625</xdr:rowOff>
    </xdr:to>
    <xdr:grpSp>
      <xdr:nvGrpSpPr>
        <xdr:cNvPr id="903" name="Group 903"/>
        <xdr:cNvGrpSpPr>
          <a:grpSpLocks/>
        </xdr:cNvGrpSpPr>
      </xdr:nvGrpSpPr>
      <xdr:grpSpPr>
        <a:xfrm>
          <a:off x="6829425" y="752475"/>
          <a:ext cx="381000" cy="438150"/>
          <a:chOff x="997" y="66"/>
          <a:chExt cx="40" cy="46"/>
        </a:xfrm>
        <a:solidFill>
          <a:srgbClr val="FFFFFF"/>
        </a:solidFill>
      </xdr:grpSpPr>
      <xdr:sp>
        <xdr:nvSpPr>
          <xdr:cNvPr id="904" name="AutoShape 904"/>
          <xdr:cNvSpPr>
            <a:spLocks/>
          </xdr:cNvSpPr>
        </xdr:nvSpPr>
        <xdr:spPr>
          <a:xfrm rot="3604144">
            <a:off x="997" y="66"/>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5" name="Line 905"/>
          <xdr:cNvSpPr>
            <a:spLocks/>
          </xdr:cNvSpPr>
        </xdr:nvSpPr>
        <xdr:spPr>
          <a:xfrm rot="21563327">
            <a:off x="1017" y="69"/>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6" name="Oval 906"/>
          <xdr:cNvSpPr>
            <a:spLocks/>
          </xdr:cNvSpPr>
        </xdr:nvSpPr>
        <xdr:spPr>
          <a:xfrm>
            <a:off x="1017" y="92"/>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9</a:t>
            </a:r>
          </a:p>
        </xdr:txBody>
      </xdr:sp>
    </xdr:grpSp>
    <xdr:clientData/>
  </xdr:twoCellAnchor>
  <xdr:twoCellAnchor editAs="absolute">
    <xdr:from>
      <xdr:col>36</xdr:col>
      <xdr:colOff>66675</xdr:colOff>
      <xdr:row>5</xdr:row>
      <xdr:rowOff>76200</xdr:rowOff>
    </xdr:from>
    <xdr:to>
      <xdr:col>38</xdr:col>
      <xdr:colOff>123825</xdr:colOff>
      <xdr:row>7</xdr:row>
      <xdr:rowOff>114300</xdr:rowOff>
    </xdr:to>
    <xdr:grpSp>
      <xdr:nvGrpSpPr>
        <xdr:cNvPr id="907" name="Group 907"/>
        <xdr:cNvGrpSpPr>
          <a:grpSpLocks/>
        </xdr:cNvGrpSpPr>
      </xdr:nvGrpSpPr>
      <xdr:grpSpPr>
        <a:xfrm rot="18000000">
          <a:off x="6924675" y="876300"/>
          <a:ext cx="438150" cy="381000"/>
          <a:chOff x="997" y="66"/>
          <a:chExt cx="40" cy="46"/>
        </a:xfrm>
        <a:solidFill>
          <a:srgbClr val="FFFFFF"/>
        </a:solidFill>
      </xdr:grpSpPr>
      <xdr:sp>
        <xdr:nvSpPr>
          <xdr:cNvPr id="908" name="AutoShape 908"/>
          <xdr:cNvSpPr>
            <a:spLocks/>
          </xdr:cNvSpPr>
        </xdr:nvSpPr>
        <xdr:spPr>
          <a:xfrm rot="3604144">
            <a:off x="997" y="66"/>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9" name="Line 909"/>
          <xdr:cNvSpPr>
            <a:spLocks/>
          </xdr:cNvSpPr>
        </xdr:nvSpPr>
        <xdr:spPr>
          <a:xfrm rot="21563327">
            <a:off x="1017" y="69"/>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0" name="Oval 910"/>
          <xdr:cNvSpPr>
            <a:spLocks/>
          </xdr:cNvSpPr>
        </xdr:nvSpPr>
        <xdr:spPr>
          <a:xfrm>
            <a:off x="1017" y="92"/>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9</a:t>
            </a:r>
          </a:p>
        </xdr:txBody>
      </xdr:sp>
    </xdr:grpSp>
    <xdr:clientData/>
  </xdr:twoCellAnchor>
  <xdr:twoCellAnchor editAs="absolute">
    <xdr:from>
      <xdr:col>15</xdr:col>
      <xdr:colOff>180975</xdr:colOff>
      <xdr:row>4</xdr:row>
      <xdr:rowOff>142875</xdr:rowOff>
    </xdr:from>
    <xdr:to>
      <xdr:col>17</xdr:col>
      <xdr:colOff>180975</xdr:colOff>
      <xdr:row>7</xdr:row>
      <xdr:rowOff>66675</xdr:rowOff>
    </xdr:to>
    <xdr:grpSp>
      <xdr:nvGrpSpPr>
        <xdr:cNvPr id="911" name="Group 911"/>
        <xdr:cNvGrpSpPr>
          <a:grpSpLocks/>
        </xdr:cNvGrpSpPr>
      </xdr:nvGrpSpPr>
      <xdr:grpSpPr>
        <a:xfrm rot="1800000">
          <a:off x="3038475" y="771525"/>
          <a:ext cx="381000" cy="438150"/>
          <a:chOff x="997" y="66"/>
          <a:chExt cx="40" cy="46"/>
        </a:xfrm>
        <a:solidFill>
          <a:srgbClr val="FFFFFF"/>
        </a:solidFill>
      </xdr:grpSpPr>
      <xdr:sp>
        <xdr:nvSpPr>
          <xdr:cNvPr id="912" name="AutoShape 912"/>
          <xdr:cNvSpPr>
            <a:spLocks/>
          </xdr:cNvSpPr>
        </xdr:nvSpPr>
        <xdr:spPr>
          <a:xfrm rot="3604144">
            <a:off x="997" y="66"/>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3" name="Line 913"/>
          <xdr:cNvSpPr>
            <a:spLocks/>
          </xdr:cNvSpPr>
        </xdr:nvSpPr>
        <xdr:spPr>
          <a:xfrm rot="21563327">
            <a:off x="1017" y="69"/>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4" name="Oval 914"/>
          <xdr:cNvSpPr>
            <a:spLocks/>
          </xdr:cNvSpPr>
        </xdr:nvSpPr>
        <xdr:spPr>
          <a:xfrm>
            <a:off x="1017" y="92"/>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9</a:t>
            </a:r>
          </a:p>
        </xdr:txBody>
      </xdr:sp>
    </xdr:grpSp>
    <xdr:clientData/>
  </xdr:twoCellAnchor>
  <xdr:twoCellAnchor editAs="absolute">
    <xdr:from>
      <xdr:col>30</xdr:col>
      <xdr:colOff>76200</xdr:colOff>
      <xdr:row>5</xdr:row>
      <xdr:rowOff>85725</xdr:rowOff>
    </xdr:from>
    <xdr:to>
      <xdr:col>32</xdr:col>
      <xdr:colOff>76200</xdr:colOff>
      <xdr:row>8</xdr:row>
      <xdr:rowOff>28575</xdr:rowOff>
    </xdr:to>
    <xdr:grpSp>
      <xdr:nvGrpSpPr>
        <xdr:cNvPr id="915" name="Group 915"/>
        <xdr:cNvGrpSpPr>
          <a:grpSpLocks/>
        </xdr:cNvGrpSpPr>
      </xdr:nvGrpSpPr>
      <xdr:grpSpPr>
        <a:xfrm>
          <a:off x="5791200" y="885825"/>
          <a:ext cx="381000" cy="457200"/>
          <a:chOff x="975" y="138"/>
          <a:chExt cx="40" cy="48"/>
        </a:xfrm>
        <a:solidFill>
          <a:srgbClr val="FFFFFF"/>
        </a:solidFill>
      </xdr:grpSpPr>
      <xdr:sp>
        <xdr:nvSpPr>
          <xdr:cNvPr id="916" name="AutoShape 916"/>
          <xdr:cNvSpPr>
            <a:spLocks/>
          </xdr:cNvSpPr>
        </xdr:nvSpPr>
        <xdr:spPr>
          <a:xfrm rot="3640816">
            <a:off x="975" y="138"/>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7" name="Arc 917"/>
          <xdr:cNvSpPr>
            <a:spLocks/>
          </xdr:cNvSpPr>
        </xdr:nvSpPr>
        <xdr:spPr>
          <a:xfrm rot="19306582">
            <a:off x="976" y="167"/>
            <a:ext cx="17" cy="19"/>
          </a:xfrm>
          <a:prstGeom prst="arc">
            <a:avLst>
              <a:gd name="adj1" fmla="val -20069518"/>
              <a:gd name="adj2" fmla="val 10323888"/>
              <a:gd name="adj3" fmla="val 41342"/>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8" name="Oval 918"/>
          <xdr:cNvSpPr>
            <a:spLocks/>
          </xdr:cNvSpPr>
        </xdr:nvSpPr>
        <xdr:spPr>
          <a:xfrm>
            <a:off x="976" y="150"/>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7</a:t>
            </a:r>
          </a:p>
        </xdr:txBody>
      </xdr:sp>
    </xdr:grpSp>
    <xdr:clientData/>
  </xdr:twoCellAnchor>
  <xdr:twoCellAnchor editAs="absolute">
    <xdr:from>
      <xdr:col>31</xdr:col>
      <xdr:colOff>38100</xdr:colOff>
      <xdr:row>6</xdr:row>
      <xdr:rowOff>66675</xdr:rowOff>
    </xdr:from>
    <xdr:to>
      <xdr:col>33</xdr:col>
      <xdr:colOff>38100</xdr:colOff>
      <xdr:row>9</xdr:row>
      <xdr:rowOff>9525</xdr:rowOff>
    </xdr:to>
    <xdr:grpSp>
      <xdr:nvGrpSpPr>
        <xdr:cNvPr id="919" name="Group 919"/>
        <xdr:cNvGrpSpPr>
          <a:grpSpLocks/>
        </xdr:cNvGrpSpPr>
      </xdr:nvGrpSpPr>
      <xdr:grpSpPr>
        <a:xfrm>
          <a:off x="5943600" y="1038225"/>
          <a:ext cx="381000" cy="457200"/>
          <a:chOff x="975" y="138"/>
          <a:chExt cx="40" cy="48"/>
        </a:xfrm>
        <a:solidFill>
          <a:srgbClr val="FFFFFF"/>
        </a:solidFill>
      </xdr:grpSpPr>
      <xdr:sp>
        <xdr:nvSpPr>
          <xdr:cNvPr id="920" name="AutoShape 920"/>
          <xdr:cNvSpPr>
            <a:spLocks/>
          </xdr:cNvSpPr>
        </xdr:nvSpPr>
        <xdr:spPr>
          <a:xfrm rot="3640816">
            <a:off x="975" y="138"/>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1" name="Arc 921"/>
          <xdr:cNvSpPr>
            <a:spLocks/>
          </xdr:cNvSpPr>
        </xdr:nvSpPr>
        <xdr:spPr>
          <a:xfrm rot="19306582">
            <a:off x="976" y="167"/>
            <a:ext cx="17" cy="19"/>
          </a:xfrm>
          <a:prstGeom prst="arc">
            <a:avLst>
              <a:gd name="adj1" fmla="val -20069518"/>
              <a:gd name="adj2" fmla="val 10323888"/>
              <a:gd name="adj3" fmla="val 41342"/>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2" name="Oval 922"/>
          <xdr:cNvSpPr>
            <a:spLocks/>
          </xdr:cNvSpPr>
        </xdr:nvSpPr>
        <xdr:spPr>
          <a:xfrm>
            <a:off x="976" y="150"/>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7</a:t>
            </a:r>
          </a:p>
        </xdr:txBody>
      </xdr:sp>
    </xdr:grpSp>
    <xdr:clientData/>
  </xdr:twoCellAnchor>
  <xdr:twoCellAnchor editAs="absolute">
    <xdr:from>
      <xdr:col>13</xdr:col>
      <xdr:colOff>19050</xdr:colOff>
      <xdr:row>6</xdr:row>
      <xdr:rowOff>152400</xdr:rowOff>
    </xdr:from>
    <xdr:to>
      <xdr:col>15</xdr:col>
      <xdr:colOff>19050</xdr:colOff>
      <xdr:row>9</xdr:row>
      <xdr:rowOff>95250</xdr:rowOff>
    </xdr:to>
    <xdr:grpSp>
      <xdr:nvGrpSpPr>
        <xdr:cNvPr id="923" name="Group 923"/>
        <xdr:cNvGrpSpPr>
          <a:grpSpLocks/>
        </xdr:cNvGrpSpPr>
      </xdr:nvGrpSpPr>
      <xdr:grpSpPr>
        <a:xfrm rot="19800000">
          <a:off x="2495550" y="1123950"/>
          <a:ext cx="381000" cy="457200"/>
          <a:chOff x="975" y="138"/>
          <a:chExt cx="40" cy="48"/>
        </a:xfrm>
        <a:solidFill>
          <a:srgbClr val="FFFFFF"/>
        </a:solidFill>
      </xdr:grpSpPr>
      <xdr:sp>
        <xdr:nvSpPr>
          <xdr:cNvPr id="924" name="AutoShape 924"/>
          <xdr:cNvSpPr>
            <a:spLocks/>
          </xdr:cNvSpPr>
        </xdr:nvSpPr>
        <xdr:spPr>
          <a:xfrm rot="3640816">
            <a:off x="975" y="138"/>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5" name="Arc 925"/>
          <xdr:cNvSpPr>
            <a:spLocks/>
          </xdr:cNvSpPr>
        </xdr:nvSpPr>
        <xdr:spPr>
          <a:xfrm rot="19306582">
            <a:off x="976" y="167"/>
            <a:ext cx="17" cy="19"/>
          </a:xfrm>
          <a:prstGeom prst="arc">
            <a:avLst>
              <a:gd name="adj1" fmla="val -20069518"/>
              <a:gd name="adj2" fmla="val 10323888"/>
              <a:gd name="adj3" fmla="val 41342"/>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6" name="Oval 926"/>
          <xdr:cNvSpPr>
            <a:spLocks/>
          </xdr:cNvSpPr>
        </xdr:nvSpPr>
        <xdr:spPr>
          <a:xfrm>
            <a:off x="976" y="150"/>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7</a:t>
            </a:r>
          </a:p>
        </xdr:txBody>
      </xdr:sp>
    </xdr:grpSp>
    <xdr:clientData/>
  </xdr:twoCellAnchor>
  <xdr:twoCellAnchor editAs="absolute">
    <xdr:from>
      <xdr:col>3</xdr:col>
      <xdr:colOff>28575</xdr:colOff>
      <xdr:row>6</xdr:row>
      <xdr:rowOff>123825</xdr:rowOff>
    </xdr:from>
    <xdr:to>
      <xdr:col>5</xdr:col>
      <xdr:colOff>28575</xdr:colOff>
      <xdr:row>9</xdr:row>
      <xdr:rowOff>123825</xdr:rowOff>
    </xdr:to>
    <xdr:grpSp>
      <xdr:nvGrpSpPr>
        <xdr:cNvPr id="927" name="Group 927"/>
        <xdr:cNvGrpSpPr>
          <a:grpSpLocks/>
        </xdr:cNvGrpSpPr>
      </xdr:nvGrpSpPr>
      <xdr:grpSpPr>
        <a:xfrm rot="19800000">
          <a:off x="600075" y="1095375"/>
          <a:ext cx="381000" cy="514350"/>
          <a:chOff x="974" y="24"/>
          <a:chExt cx="40" cy="54"/>
        </a:xfrm>
        <a:solidFill>
          <a:srgbClr val="FFFFFF"/>
        </a:solidFill>
      </xdr:grpSpPr>
      <xdr:sp>
        <xdr:nvSpPr>
          <xdr:cNvPr id="928" name="AutoShape 928"/>
          <xdr:cNvSpPr>
            <a:spLocks/>
          </xdr:cNvSpPr>
        </xdr:nvSpPr>
        <xdr:spPr>
          <a:xfrm rot="3640816">
            <a:off x="974" y="24"/>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9" name="Arc 929"/>
          <xdr:cNvSpPr>
            <a:spLocks/>
          </xdr:cNvSpPr>
        </xdr:nvSpPr>
        <xdr:spPr>
          <a:xfrm rot="18208223">
            <a:off x="975" y="46"/>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0" name="Line 930"/>
          <xdr:cNvSpPr>
            <a:spLocks/>
          </xdr:cNvSpPr>
        </xdr:nvSpPr>
        <xdr:spPr>
          <a:xfrm>
            <a:off x="994" y="45"/>
            <a:ext cx="0" cy="13"/>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931" name="Group 931"/>
          <xdr:cNvGrpSpPr>
            <a:grpSpLocks/>
          </xdr:cNvGrpSpPr>
        </xdr:nvGrpSpPr>
        <xdr:grpSpPr>
          <a:xfrm>
            <a:off x="997" y="34"/>
            <a:ext cx="15" cy="15"/>
            <a:chOff x="690" y="111"/>
            <a:chExt cx="15" cy="15"/>
          </a:xfrm>
          <a:solidFill>
            <a:srgbClr val="FFFFFF"/>
          </a:solidFill>
        </xdr:grpSpPr>
        <xdr:sp>
          <xdr:nvSpPr>
            <xdr:cNvPr id="932" name="Oval 932"/>
            <xdr:cNvSpPr>
              <a:spLocks/>
            </xdr:cNvSpPr>
          </xdr:nvSpPr>
          <xdr:spPr>
            <a:xfrm>
              <a:off x="693" y="115"/>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933" name="Oval 933"/>
            <xdr:cNvSpPr>
              <a:spLocks/>
            </xdr:cNvSpPr>
          </xdr:nvSpPr>
          <xdr:spPr>
            <a:xfrm>
              <a:off x="690" y="11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1</a:t>
              </a:r>
            </a:p>
          </xdr:txBody>
        </xdr:sp>
      </xdr:grpSp>
      <xdr:sp>
        <xdr:nvSpPr>
          <xdr:cNvPr id="934" name="Oval 934"/>
          <xdr:cNvSpPr>
            <a:spLocks/>
          </xdr:cNvSpPr>
        </xdr:nvSpPr>
        <xdr:spPr>
          <a:xfrm>
            <a:off x="979" y="29"/>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58</a:t>
            </a:r>
          </a:p>
        </xdr:txBody>
      </xdr:sp>
    </xdr:grpSp>
    <xdr:clientData/>
  </xdr:twoCellAnchor>
  <xdr:twoCellAnchor editAs="absolute">
    <xdr:from>
      <xdr:col>17</xdr:col>
      <xdr:colOff>171450</xdr:colOff>
      <xdr:row>16</xdr:row>
      <xdr:rowOff>161925</xdr:rowOff>
    </xdr:from>
    <xdr:to>
      <xdr:col>20</xdr:col>
      <xdr:colOff>114300</xdr:colOff>
      <xdr:row>19</xdr:row>
      <xdr:rowOff>28575</xdr:rowOff>
    </xdr:to>
    <xdr:grpSp>
      <xdr:nvGrpSpPr>
        <xdr:cNvPr id="935" name="Group 935"/>
        <xdr:cNvGrpSpPr>
          <a:grpSpLocks/>
        </xdr:cNvGrpSpPr>
      </xdr:nvGrpSpPr>
      <xdr:grpSpPr>
        <a:xfrm rot="16200000">
          <a:off x="3409950" y="2847975"/>
          <a:ext cx="514350" cy="381000"/>
          <a:chOff x="974" y="24"/>
          <a:chExt cx="40" cy="54"/>
        </a:xfrm>
        <a:solidFill>
          <a:srgbClr val="FFFFFF"/>
        </a:solidFill>
      </xdr:grpSpPr>
      <xdr:sp>
        <xdr:nvSpPr>
          <xdr:cNvPr id="936" name="AutoShape 936"/>
          <xdr:cNvSpPr>
            <a:spLocks/>
          </xdr:cNvSpPr>
        </xdr:nvSpPr>
        <xdr:spPr>
          <a:xfrm rot="3640816">
            <a:off x="974" y="24"/>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7" name="Arc 937"/>
          <xdr:cNvSpPr>
            <a:spLocks/>
          </xdr:cNvSpPr>
        </xdr:nvSpPr>
        <xdr:spPr>
          <a:xfrm rot="18208223">
            <a:off x="975" y="46"/>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8" name="Line 938"/>
          <xdr:cNvSpPr>
            <a:spLocks/>
          </xdr:cNvSpPr>
        </xdr:nvSpPr>
        <xdr:spPr>
          <a:xfrm>
            <a:off x="994" y="45"/>
            <a:ext cx="0" cy="13"/>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939" name="Group 939"/>
          <xdr:cNvGrpSpPr>
            <a:grpSpLocks/>
          </xdr:cNvGrpSpPr>
        </xdr:nvGrpSpPr>
        <xdr:grpSpPr>
          <a:xfrm>
            <a:off x="997" y="34"/>
            <a:ext cx="15" cy="15"/>
            <a:chOff x="690" y="111"/>
            <a:chExt cx="15" cy="15"/>
          </a:xfrm>
          <a:solidFill>
            <a:srgbClr val="FFFFFF"/>
          </a:solidFill>
        </xdr:grpSpPr>
        <xdr:sp>
          <xdr:nvSpPr>
            <xdr:cNvPr id="940" name="Oval 940"/>
            <xdr:cNvSpPr>
              <a:spLocks/>
            </xdr:cNvSpPr>
          </xdr:nvSpPr>
          <xdr:spPr>
            <a:xfrm>
              <a:off x="693" y="115"/>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941" name="Oval 941"/>
            <xdr:cNvSpPr>
              <a:spLocks/>
            </xdr:cNvSpPr>
          </xdr:nvSpPr>
          <xdr:spPr>
            <a:xfrm>
              <a:off x="690" y="11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1</a:t>
              </a:r>
            </a:p>
          </xdr:txBody>
        </xdr:sp>
      </xdr:grpSp>
      <xdr:sp>
        <xdr:nvSpPr>
          <xdr:cNvPr id="942" name="Oval 942"/>
          <xdr:cNvSpPr>
            <a:spLocks/>
          </xdr:cNvSpPr>
        </xdr:nvSpPr>
        <xdr:spPr>
          <a:xfrm>
            <a:off x="979" y="29"/>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58</a:t>
            </a:r>
          </a:p>
        </xdr:txBody>
      </xdr:sp>
    </xdr:grpSp>
    <xdr:clientData/>
  </xdr:twoCellAnchor>
  <xdr:twoCellAnchor editAs="absolute">
    <xdr:from>
      <xdr:col>44</xdr:col>
      <xdr:colOff>19050</xdr:colOff>
      <xdr:row>9</xdr:row>
      <xdr:rowOff>0</xdr:rowOff>
    </xdr:from>
    <xdr:to>
      <xdr:col>46</xdr:col>
      <xdr:colOff>19050</xdr:colOff>
      <xdr:row>11</xdr:row>
      <xdr:rowOff>123825</xdr:rowOff>
    </xdr:to>
    <xdr:grpSp>
      <xdr:nvGrpSpPr>
        <xdr:cNvPr id="943" name="Group 943"/>
        <xdr:cNvGrpSpPr>
          <a:grpSpLocks/>
        </xdr:cNvGrpSpPr>
      </xdr:nvGrpSpPr>
      <xdr:grpSpPr>
        <a:xfrm>
          <a:off x="8401050" y="1485900"/>
          <a:ext cx="381000" cy="466725"/>
          <a:chOff x="983" y="135"/>
          <a:chExt cx="40" cy="49"/>
        </a:xfrm>
        <a:solidFill>
          <a:srgbClr val="FFFFFF"/>
        </a:solidFill>
      </xdr:grpSpPr>
      <xdr:sp>
        <xdr:nvSpPr>
          <xdr:cNvPr id="944" name="AutoShape 944"/>
          <xdr:cNvSpPr>
            <a:spLocks/>
          </xdr:cNvSpPr>
        </xdr:nvSpPr>
        <xdr:spPr>
          <a:xfrm rot="3605222">
            <a:off x="983" y="135"/>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5" name="Line 945"/>
          <xdr:cNvSpPr>
            <a:spLocks/>
          </xdr:cNvSpPr>
        </xdr:nvSpPr>
        <xdr:spPr>
          <a:xfrm rot="1805028">
            <a:off x="998" y="161"/>
            <a:ext cx="0" cy="13"/>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6" name="Arc 946"/>
          <xdr:cNvSpPr>
            <a:spLocks/>
          </xdr:cNvSpPr>
        </xdr:nvSpPr>
        <xdr:spPr>
          <a:xfrm rot="19124930">
            <a:off x="985" y="164"/>
            <a:ext cx="17" cy="20"/>
          </a:xfrm>
          <a:prstGeom prst="arc">
            <a:avLst>
              <a:gd name="adj1" fmla="val -20069518"/>
              <a:gd name="adj2" fmla="val 10323888"/>
              <a:gd name="adj3" fmla="val 41342"/>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947" name="Group 947"/>
          <xdr:cNvGrpSpPr>
            <a:grpSpLocks/>
          </xdr:cNvGrpSpPr>
        </xdr:nvGrpSpPr>
        <xdr:grpSpPr>
          <a:xfrm>
            <a:off x="1003" y="151"/>
            <a:ext cx="15" cy="15"/>
            <a:chOff x="690" y="111"/>
            <a:chExt cx="15" cy="15"/>
          </a:xfrm>
          <a:solidFill>
            <a:srgbClr val="FFFFFF"/>
          </a:solidFill>
        </xdr:grpSpPr>
        <xdr:sp>
          <xdr:nvSpPr>
            <xdr:cNvPr id="948" name="Oval 948"/>
            <xdr:cNvSpPr>
              <a:spLocks/>
            </xdr:cNvSpPr>
          </xdr:nvSpPr>
          <xdr:spPr>
            <a:xfrm>
              <a:off x="693" y="115"/>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949" name="Oval 949"/>
            <xdr:cNvSpPr>
              <a:spLocks/>
            </xdr:cNvSpPr>
          </xdr:nvSpPr>
          <xdr:spPr>
            <a:xfrm>
              <a:off x="690" y="11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1</a:t>
              </a:r>
            </a:p>
          </xdr:txBody>
        </xdr:sp>
      </xdr:grpSp>
      <xdr:sp>
        <xdr:nvSpPr>
          <xdr:cNvPr id="950" name="Oval 950"/>
          <xdr:cNvSpPr>
            <a:spLocks/>
          </xdr:cNvSpPr>
        </xdr:nvSpPr>
        <xdr:spPr>
          <a:xfrm>
            <a:off x="988" y="142"/>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3</a:t>
            </a:r>
          </a:p>
        </xdr:txBody>
      </xdr:sp>
    </xdr:grpSp>
    <xdr:clientData/>
  </xdr:twoCellAnchor>
  <xdr:twoCellAnchor editAs="absolute">
    <xdr:from>
      <xdr:col>27</xdr:col>
      <xdr:colOff>57150</xdr:colOff>
      <xdr:row>4</xdr:row>
      <xdr:rowOff>152400</xdr:rowOff>
    </xdr:from>
    <xdr:to>
      <xdr:col>29</xdr:col>
      <xdr:colOff>114300</xdr:colOff>
      <xdr:row>7</xdr:row>
      <xdr:rowOff>19050</xdr:rowOff>
    </xdr:to>
    <xdr:grpSp>
      <xdr:nvGrpSpPr>
        <xdr:cNvPr id="951" name="Group 951"/>
        <xdr:cNvGrpSpPr>
          <a:grpSpLocks/>
        </xdr:cNvGrpSpPr>
      </xdr:nvGrpSpPr>
      <xdr:grpSpPr>
        <a:xfrm rot="16200000">
          <a:off x="5200650" y="781050"/>
          <a:ext cx="438150" cy="381000"/>
          <a:chOff x="1006" y="66"/>
          <a:chExt cx="40" cy="46"/>
        </a:xfrm>
        <a:solidFill>
          <a:srgbClr val="FFFFFF"/>
        </a:solidFill>
      </xdr:grpSpPr>
      <xdr:sp>
        <xdr:nvSpPr>
          <xdr:cNvPr id="952" name="AutoShape 952"/>
          <xdr:cNvSpPr>
            <a:spLocks/>
          </xdr:cNvSpPr>
        </xdr:nvSpPr>
        <xdr:spPr>
          <a:xfrm rot="3604144">
            <a:off x="1006" y="66"/>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3" name="Line 953"/>
          <xdr:cNvSpPr>
            <a:spLocks/>
          </xdr:cNvSpPr>
        </xdr:nvSpPr>
        <xdr:spPr>
          <a:xfrm rot="21563327">
            <a:off x="1026" y="69"/>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4" name="Oval 954"/>
          <xdr:cNvSpPr>
            <a:spLocks/>
          </xdr:cNvSpPr>
        </xdr:nvSpPr>
        <xdr:spPr>
          <a:xfrm rot="21563327">
            <a:off x="1020" y="82"/>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955" name="Group 955"/>
          <xdr:cNvGrpSpPr>
            <a:grpSpLocks/>
          </xdr:cNvGrpSpPr>
        </xdr:nvGrpSpPr>
        <xdr:grpSpPr>
          <a:xfrm>
            <a:off x="1011" y="71"/>
            <a:ext cx="15" cy="15"/>
            <a:chOff x="663" y="56"/>
            <a:chExt cx="15" cy="15"/>
          </a:xfrm>
          <a:solidFill>
            <a:srgbClr val="FFFFFF"/>
          </a:solidFill>
        </xdr:grpSpPr>
        <xdr:sp>
          <xdr:nvSpPr>
            <xdr:cNvPr id="956" name="Oval 956"/>
            <xdr:cNvSpPr>
              <a:spLocks/>
            </xdr:cNvSpPr>
          </xdr:nvSpPr>
          <xdr:spPr>
            <a:xfrm>
              <a:off x="665" y="59"/>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957" name="Oval 957"/>
            <xdr:cNvSpPr>
              <a:spLocks/>
            </xdr:cNvSpPr>
          </xdr:nvSpPr>
          <xdr:spPr>
            <a:xfrm>
              <a:off x="663" y="56"/>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a:t>
              </a:r>
            </a:p>
          </xdr:txBody>
        </xdr:sp>
      </xdr:grpSp>
      <xdr:sp>
        <xdr:nvSpPr>
          <xdr:cNvPr id="958" name="Oval 958"/>
          <xdr:cNvSpPr>
            <a:spLocks/>
          </xdr:cNvSpPr>
        </xdr:nvSpPr>
        <xdr:spPr>
          <a:xfrm>
            <a:off x="1027" y="9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57</a:t>
            </a:r>
          </a:p>
        </xdr:txBody>
      </xdr:sp>
    </xdr:grpSp>
    <xdr:clientData/>
  </xdr:twoCellAnchor>
  <xdr:twoCellAnchor editAs="absolute">
    <xdr:from>
      <xdr:col>14</xdr:col>
      <xdr:colOff>180975</xdr:colOff>
      <xdr:row>6</xdr:row>
      <xdr:rowOff>142875</xdr:rowOff>
    </xdr:from>
    <xdr:to>
      <xdr:col>16</xdr:col>
      <xdr:colOff>180975</xdr:colOff>
      <xdr:row>9</xdr:row>
      <xdr:rowOff>66675</xdr:rowOff>
    </xdr:to>
    <xdr:grpSp>
      <xdr:nvGrpSpPr>
        <xdr:cNvPr id="959" name="Group 959"/>
        <xdr:cNvGrpSpPr>
          <a:grpSpLocks/>
        </xdr:cNvGrpSpPr>
      </xdr:nvGrpSpPr>
      <xdr:grpSpPr>
        <a:xfrm rot="12600000">
          <a:off x="2847975" y="1114425"/>
          <a:ext cx="381000" cy="438150"/>
          <a:chOff x="1006" y="66"/>
          <a:chExt cx="40" cy="46"/>
        </a:xfrm>
        <a:solidFill>
          <a:srgbClr val="FFFFFF"/>
        </a:solidFill>
      </xdr:grpSpPr>
      <xdr:sp>
        <xdr:nvSpPr>
          <xdr:cNvPr id="960" name="AutoShape 960"/>
          <xdr:cNvSpPr>
            <a:spLocks/>
          </xdr:cNvSpPr>
        </xdr:nvSpPr>
        <xdr:spPr>
          <a:xfrm rot="3604144">
            <a:off x="1006" y="66"/>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1" name="Line 961"/>
          <xdr:cNvSpPr>
            <a:spLocks/>
          </xdr:cNvSpPr>
        </xdr:nvSpPr>
        <xdr:spPr>
          <a:xfrm rot="21563327">
            <a:off x="1026" y="69"/>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2" name="Oval 962"/>
          <xdr:cNvSpPr>
            <a:spLocks/>
          </xdr:cNvSpPr>
        </xdr:nvSpPr>
        <xdr:spPr>
          <a:xfrm rot="21563327">
            <a:off x="1020" y="82"/>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963" name="Group 963"/>
          <xdr:cNvGrpSpPr>
            <a:grpSpLocks/>
          </xdr:cNvGrpSpPr>
        </xdr:nvGrpSpPr>
        <xdr:grpSpPr>
          <a:xfrm>
            <a:off x="1011" y="71"/>
            <a:ext cx="15" cy="15"/>
            <a:chOff x="663" y="56"/>
            <a:chExt cx="15" cy="15"/>
          </a:xfrm>
          <a:solidFill>
            <a:srgbClr val="FFFFFF"/>
          </a:solidFill>
        </xdr:grpSpPr>
        <xdr:sp>
          <xdr:nvSpPr>
            <xdr:cNvPr id="964" name="Oval 964"/>
            <xdr:cNvSpPr>
              <a:spLocks/>
            </xdr:cNvSpPr>
          </xdr:nvSpPr>
          <xdr:spPr>
            <a:xfrm>
              <a:off x="665" y="59"/>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965" name="Oval 965"/>
            <xdr:cNvSpPr>
              <a:spLocks/>
            </xdr:cNvSpPr>
          </xdr:nvSpPr>
          <xdr:spPr>
            <a:xfrm>
              <a:off x="663" y="56"/>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a:t>
              </a:r>
            </a:p>
          </xdr:txBody>
        </xdr:sp>
      </xdr:grpSp>
      <xdr:sp>
        <xdr:nvSpPr>
          <xdr:cNvPr id="966" name="Oval 966"/>
          <xdr:cNvSpPr>
            <a:spLocks/>
          </xdr:cNvSpPr>
        </xdr:nvSpPr>
        <xdr:spPr>
          <a:xfrm>
            <a:off x="1027" y="9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57</a:t>
            </a:r>
          </a:p>
        </xdr:txBody>
      </xdr:sp>
    </xdr:grpSp>
    <xdr:clientData/>
  </xdr:twoCellAnchor>
  <xdr:twoCellAnchor editAs="absolute">
    <xdr:from>
      <xdr:col>24</xdr:col>
      <xdr:colOff>76200</xdr:colOff>
      <xdr:row>7</xdr:row>
      <xdr:rowOff>76200</xdr:rowOff>
    </xdr:from>
    <xdr:to>
      <xdr:col>26</xdr:col>
      <xdr:colOff>76200</xdr:colOff>
      <xdr:row>10</xdr:row>
      <xdr:rowOff>0</xdr:rowOff>
    </xdr:to>
    <xdr:grpSp>
      <xdr:nvGrpSpPr>
        <xdr:cNvPr id="967" name="Group 967"/>
        <xdr:cNvGrpSpPr>
          <a:grpSpLocks/>
        </xdr:cNvGrpSpPr>
      </xdr:nvGrpSpPr>
      <xdr:grpSpPr>
        <a:xfrm rot="19800000">
          <a:off x="4648200" y="1219200"/>
          <a:ext cx="381000" cy="438150"/>
          <a:chOff x="1006" y="66"/>
          <a:chExt cx="40" cy="46"/>
        </a:xfrm>
        <a:solidFill>
          <a:srgbClr val="FFFFFF"/>
        </a:solidFill>
      </xdr:grpSpPr>
      <xdr:sp>
        <xdr:nvSpPr>
          <xdr:cNvPr id="968" name="AutoShape 968"/>
          <xdr:cNvSpPr>
            <a:spLocks/>
          </xdr:cNvSpPr>
        </xdr:nvSpPr>
        <xdr:spPr>
          <a:xfrm rot="3604144">
            <a:off x="1006" y="66"/>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9" name="Line 969"/>
          <xdr:cNvSpPr>
            <a:spLocks/>
          </xdr:cNvSpPr>
        </xdr:nvSpPr>
        <xdr:spPr>
          <a:xfrm rot="21563327">
            <a:off x="1026" y="69"/>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0" name="Oval 970"/>
          <xdr:cNvSpPr>
            <a:spLocks/>
          </xdr:cNvSpPr>
        </xdr:nvSpPr>
        <xdr:spPr>
          <a:xfrm rot="21563327">
            <a:off x="1020" y="82"/>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971" name="Group 971"/>
          <xdr:cNvGrpSpPr>
            <a:grpSpLocks/>
          </xdr:cNvGrpSpPr>
        </xdr:nvGrpSpPr>
        <xdr:grpSpPr>
          <a:xfrm>
            <a:off x="1011" y="71"/>
            <a:ext cx="15" cy="15"/>
            <a:chOff x="663" y="56"/>
            <a:chExt cx="15" cy="15"/>
          </a:xfrm>
          <a:solidFill>
            <a:srgbClr val="FFFFFF"/>
          </a:solidFill>
        </xdr:grpSpPr>
        <xdr:sp>
          <xdr:nvSpPr>
            <xdr:cNvPr id="972" name="Oval 972"/>
            <xdr:cNvSpPr>
              <a:spLocks/>
            </xdr:cNvSpPr>
          </xdr:nvSpPr>
          <xdr:spPr>
            <a:xfrm>
              <a:off x="665" y="59"/>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973" name="Oval 973"/>
            <xdr:cNvSpPr>
              <a:spLocks/>
            </xdr:cNvSpPr>
          </xdr:nvSpPr>
          <xdr:spPr>
            <a:xfrm>
              <a:off x="663" y="56"/>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a:t>
              </a:r>
            </a:p>
          </xdr:txBody>
        </xdr:sp>
      </xdr:grpSp>
      <xdr:sp>
        <xdr:nvSpPr>
          <xdr:cNvPr id="974" name="Oval 974"/>
          <xdr:cNvSpPr>
            <a:spLocks/>
          </xdr:cNvSpPr>
        </xdr:nvSpPr>
        <xdr:spPr>
          <a:xfrm>
            <a:off x="1027" y="9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57</a:t>
            </a:r>
          </a:p>
        </xdr:txBody>
      </xdr:sp>
    </xdr:grpSp>
    <xdr:clientData/>
  </xdr:twoCellAnchor>
  <xdr:twoCellAnchor editAs="absolute">
    <xdr:from>
      <xdr:col>26</xdr:col>
      <xdr:colOff>104775</xdr:colOff>
      <xdr:row>11</xdr:row>
      <xdr:rowOff>66675</xdr:rowOff>
    </xdr:from>
    <xdr:to>
      <xdr:col>28</xdr:col>
      <xdr:colOff>161925</xdr:colOff>
      <xdr:row>13</xdr:row>
      <xdr:rowOff>104775</xdr:rowOff>
    </xdr:to>
    <xdr:grpSp>
      <xdr:nvGrpSpPr>
        <xdr:cNvPr id="975" name="Group 975"/>
        <xdr:cNvGrpSpPr>
          <a:grpSpLocks/>
        </xdr:cNvGrpSpPr>
      </xdr:nvGrpSpPr>
      <xdr:grpSpPr>
        <a:xfrm rot="5400000">
          <a:off x="5057775" y="1895475"/>
          <a:ext cx="438150" cy="381000"/>
          <a:chOff x="978" y="39"/>
          <a:chExt cx="40" cy="46"/>
        </a:xfrm>
        <a:solidFill>
          <a:srgbClr val="FFFFFF"/>
        </a:solidFill>
      </xdr:grpSpPr>
      <xdr:sp>
        <xdr:nvSpPr>
          <xdr:cNvPr id="976" name="AutoShape 976"/>
          <xdr:cNvSpPr>
            <a:spLocks/>
          </xdr:cNvSpPr>
        </xdr:nvSpPr>
        <xdr:spPr>
          <a:xfrm rot="3640816">
            <a:off x="978" y="39"/>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7" name="Line 977"/>
          <xdr:cNvSpPr>
            <a:spLocks/>
          </xdr:cNvSpPr>
        </xdr:nvSpPr>
        <xdr:spPr>
          <a:xfrm>
            <a:off x="998" y="42"/>
            <a:ext cx="0" cy="2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8" name="Line 978"/>
          <xdr:cNvSpPr>
            <a:spLocks/>
          </xdr:cNvSpPr>
        </xdr:nvSpPr>
        <xdr:spPr>
          <a:xfrm>
            <a:off x="998" y="61"/>
            <a:ext cx="18" cy="1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9" name="Oval 979"/>
          <xdr:cNvSpPr>
            <a:spLocks/>
          </xdr:cNvSpPr>
        </xdr:nvSpPr>
        <xdr:spPr>
          <a:xfrm>
            <a:off x="993" y="56"/>
            <a:ext cx="11"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980" name="Group 980"/>
          <xdr:cNvGrpSpPr>
            <a:grpSpLocks/>
          </xdr:cNvGrpSpPr>
        </xdr:nvGrpSpPr>
        <xdr:grpSpPr>
          <a:xfrm>
            <a:off x="986" y="66"/>
            <a:ext cx="15" cy="15"/>
            <a:chOff x="663" y="56"/>
            <a:chExt cx="15" cy="15"/>
          </a:xfrm>
          <a:solidFill>
            <a:srgbClr val="FFFFFF"/>
          </a:solidFill>
        </xdr:grpSpPr>
        <xdr:sp>
          <xdr:nvSpPr>
            <xdr:cNvPr id="981" name="Oval 981"/>
            <xdr:cNvSpPr>
              <a:spLocks/>
            </xdr:cNvSpPr>
          </xdr:nvSpPr>
          <xdr:spPr>
            <a:xfrm>
              <a:off x="665" y="59"/>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982" name="Oval 982"/>
            <xdr:cNvSpPr>
              <a:spLocks/>
            </xdr:cNvSpPr>
          </xdr:nvSpPr>
          <xdr:spPr>
            <a:xfrm>
              <a:off x="663" y="56"/>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2</a:t>
              </a:r>
            </a:p>
          </xdr:txBody>
        </xdr:sp>
      </xdr:grpSp>
      <xdr:sp>
        <xdr:nvSpPr>
          <xdr:cNvPr id="983" name="Oval 983"/>
          <xdr:cNvSpPr>
            <a:spLocks/>
          </xdr:cNvSpPr>
        </xdr:nvSpPr>
        <xdr:spPr>
          <a:xfrm>
            <a:off x="982" y="4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6</a:t>
            </a:r>
          </a:p>
        </xdr:txBody>
      </xdr:sp>
    </xdr:grpSp>
    <xdr:clientData/>
  </xdr:twoCellAnchor>
  <xdr:twoCellAnchor editAs="absolute">
    <xdr:from>
      <xdr:col>46</xdr:col>
      <xdr:colOff>28575</xdr:colOff>
      <xdr:row>6</xdr:row>
      <xdr:rowOff>161925</xdr:rowOff>
    </xdr:from>
    <xdr:to>
      <xdr:col>47</xdr:col>
      <xdr:colOff>114300</xdr:colOff>
      <xdr:row>9</xdr:row>
      <xdr:rowOff>28575</xdr:rowOff>
    </xdr:to>
    <xdr:grpSp>
      <xdr:nvGrpSpPr>
        <xdr:cNvPr id="984" name="Group 984"/>
        <xdr:cNvGrpSpPr>
          <a:grpSpLocks/>
        </xdr:cNvGrpSpPr>
      </xdr:nvGrpSpPr>
      <xdr:grpSpPr>
        <a:xfrm rot="3600000">
          <a:off x="8791575" y="1133475"/>
          <a:ext cx="438150" cy="381000"/>
          <a:chOff x="979" y="143"/>
          <a:chExt cx="40" cy="46"/>
        </a:xfrm>
        <a:solidFill>
          <a:srgbClr val="FFFFFF"/>
        </a:solidFill>
      </xdr:grpSpPr>
      <xdr:sp>
        <xdr:nvSpPr>
          <xdr:cNvPr id="985" name="AutoShape 985"/>
          <xdr:cNvSpPr>
            <a:spLocks/>
          </xdr:cNvSpPr>
        </xdr:nvSpPr>
        <xdr:spPr>
          <a:xfrm rot="3604144">
            <a:off x="979" y="143"/>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6" name="Line 986"/>
          <xdr:cNvSpPr>
            <a:spLocks/>
          </xdr:cNvSpPr>
        </xdr:nvSpPr>
        <xdr:spPr>
          <a:xfrm rot="21563327" flipH="1">
            <a:off x="999" y="146"/>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7" name="Line 987"/>
          <xdr:cNvSpPr>
            <a:spLocks/>
          </xdr:cNvSpPr>
        </xdr:nvSpPr>
        <xdr:spPr>
          <a:xfrm rot="5400000">
            <a:off x="998" y="160"/>
            <a:ext cx="0" cy="13"/>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988" name="Group 988"/>
          <xdr:cNvGrpSpPr>
            <a:grpSpLocks/>
          </xdr:cNvGrpSpPr>
        </xdr:nvGrpSpPr>
        <xdr:grpSpPr>
          <a:xfrm>
            <a:off x="984" y="150"/>
            <a:ext cx="15" cy="15"/>
            <a:chOff x="690" y="111"/>
            <a:chExt cx="15" cy="15"/>
          </a:xfrm>
          <a:solidFill>
            <a:srgbClr val="FFFFFF"/>
          </a:solidFill>
        </xdr:grpSpPr>
        <xdr:sp>
          <xdr:nvSpPr>
            <xdr:cNvPr id="989" name="Oval 989"/>
            <xdr:cNvSpPr>
              <a:spLocks/>
            </xdr:cNvSpPr>
          </xdr:nvSpPr>
          <xdr:spPr>
            <a:xfrm>
              <a:off x="693" y="115"/>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990" name="Oval 990"/>
            <xdr:cNvSpPr>
              <a:spLocks/>
            </xdr:cNvSpPr>
          </xdr:nvSpPr>
          <xdr:spPr>
            <a:xfrm>
              <a:off x="690" y="11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1</a:t>
              </a:r>
            </a:p>
          </xdr:txBody>
        </xdr:sp>
      </xdr:grpSp>
      <xdr:sp>
        <xdr:nvSpPr>
          <xdr:cNvPr id="991" name="Oval 991"/>
          <xdr:cNvSpPr>
            <a:spLocks/>
          </xdr:cNvSpPr>
        </xdr:nvSpPr>
        <xdr:spPr>
          <a:xfrm>
            <a:off x="1000" y="168"/>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a:t>
            </a:r>
          </a:p>
        </xdr:txBody>
      </xdr:sp>
    </xdr:grpSp>
    <xdr:clientData/>
  </xdr:twoCellAnchor>
  <xdr:twoCellAnchor editAs="absolute">
    <xdr:from>
      <xdr:col>6</xdr:col>
      <xdr:colOff>161925</xdr:colOff>
      <xdr:row>6</xdr:row>
      <xdr:rowOff>152400</xdr:rowOff>
    </xdr:from>
    <xdr:to>
      <xdr:col>9</xdr:col>
      <xdr:colOff>28575</xdr:colOff>
      <xdr:row>9</xdr:row>
      <xdr:rowOff>19050</xdr:rowOff>
    </xdr:to>
    <xdr:grpSp>
      <xdr:nvGrpSpPr>
        <xdr:cNvPr id="992" name="Group 992"/>
        <xdr:cNvGrpSpPr>
          <a:grpSpLocks/>
        </xdr:cNvGrpSpPr>
      </xdr:nvGrpSpPr>
      <xdr:grpSpPr>
        <a:xfrm rot="5400000">
          <a:off x="1304925" y="1123950"/>
          <a:ext cx="438150" cy="381000"/>
          <a:chOff x="979" y="143"/>
          <a:chExt cx="40" cy="46"/>
        </a:xfrm>
        <a:solidFill>
          <a:srgbClr val="FFFFFF"/>
        </a:solidFill>
      </xdr:grpSpPr>
      <xdr:sp>
        <xdr:nvSpPr>
          <xdr:cNvPr id="993" name="AutoShape 993"/>
          <xdr:cNvSpPr>
            <a:spLocks/>
          </xdr:cNvSpPr>
        </xdr:nvSpPr>
        <xdr:spPr>
          <a:xfrm rot="3604144">
            <a:off x="979" y="143"/>
            <a:ext cx="40" cy="46"/>
          </a:xfrm>
          <a:prstGeom prst="hexagon">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4" name="Line 994"/>
          <xdr:cNvSpPr>
            <a:spLocks/>
          </xdr:cNvSpPr>
        </xdr:nvSpPr>
        <xdr:spPr>
          <a:xfrm rot="21563327" flipH="1">
            <a:off x="999" y="146"/>
            <a:ext cx="0" cy="4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5" name="Line 995"/>
          <xdr:cNvSpPr>
            <a:spLocks/>
          </xdr:cNvSpPr>
        </xdr:nvSpPr>
        <xdr:spPr>
          <a:xfrm rot="5400000">
            <a:off x="998" y="160"/>
            <a:ext cx="0" cy="13"/>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996" name="Group 996"/>
          <xdr:cNvGrpSpPr>
            <a:grpSpLocks/>
          </xdr:cNvGrpSpPr>
        </xdr:nvGrpSpPr>
        <xdr:grpSpPr>
          <a:xfrm>
            <a:off x="984" y="150"/>
            <a:ext cx="15" cy="15"/>
            <a:chOff x="690" y="111"/>
            <a:chExt cx="15" cy="15"/>
          </a:xfrm>
          <a:solidFill>
            <a:srgbClr val="FFFFFF"/>
          </a:solidFill>
        </xdr:grpSpPr>
        <xdr:sp>
          <xdr:nvSpPr>
            <xdr:cNvPr id="997" name="Oval 997"/>
            <xdr:cNvSpPr>
              <a:spLocks/>
            </xdr:cNvSpPr>
          </xdr:nvSpPr>
          <xdr:spPr>
            <a:xfrm>
              <a:off x="693" y="115"/>
              <a:ext cx="9" cy="9"/>
            </a:xfrm>
            <a:prstGeom prst="ellipse">
              <a:avLst/>
            </a:prstGeom>
            <a:solidFill>
              <a:srgbClr val="FFFFFF"/>
            </a:solidFill>
            <a:ln w="3175" cmpd="sng">
              <a:solidFill>
                <a:srgbClr val="808080"/>
              </a:solidFill>
              <a:headEnd type="none"/>
              <a:tailEnd type="none"/>
            </a:ln>
          </xdr:spPr>
          <xdr:txBody>
            <a:bodyPr vertOverflow="clip" wrap="square" lIns="0" tIns="0" rIns="0" bIns="0"/>
            <a:p>
              <a:pPr algn="ctr">
                <a:defRPr/>
              </a:pPr>
              <a:r>
                <a:rPr lang="en-US" cap="none" u="none" baseline="0">
                  <a:latin typeface="ＭＳ Ｐゴシック"/>
                  <a:ea typeface="ＭＳ Ｐゴシック"/>
                  <a:cs typeface="ＭＳ Ｐゴシック"/>
                </a:rPr>
                <a:t/>
              </a:r>
            </a:p>
          </xdr:txBody>
        </xdr:sp>
        <xdr:sp>
          <xdr:nvSpPr>
            <xdr:cNvPr id="998" name="Oval 998"/>
            <xdr:cNvSpPr>
              <a:spLocks/>
            </xdr:cNvSpPr>
          </xdr:nvSpPr>
          <xdr:spPr>
            <a:xfrm>
              <a:off x="690" y="111"/>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1</a:t>
              </a:r>
            </a:p>
          </xdr:txBody>
        </xdr:sp>
      </xdr:grpSp>
      <xdr:sp>
        <xdr:nvSpPr>
          <xdr:cNvPr id="999" name="Oval 999"/>
          <xdr:cNvSpPr>
            <a:spLocks/>
          </xdr:cNvSpPr>
        </xdr:nvSpPr>
        <xdr:spPr>
          <a:xfrm>
            <a:off x="1000" y="168"/>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a:t>
            </a:r>
          </a:p>
        </xdr:txBody>
      </xdr:sp>
    </xdr:grpSp>
    <xdr:clientData/>
  </xdr:twoCellAnchor>
  <xdr:twoCellAnchor editAs="absolute">
    <xdr:from>
      <xdr:col>25</xdr:col>
      <xdr:colOff>66675</xdr:colOff>
      <xdr:row>26</xdr:row>
      <xdr:rowOff>85725</xdr:rowOff>
    </xdr:from>
    <xdr:to>
      <xdr:col>26</xdr:col>
      <xdr:colOff>95250</xdr:colOff>
      <xdr:row>27</xdr:row>
      <xdr:rowOff>133350</xdr:rowOff>
    </xdr:to>
    <xdr:grpSp>
      <xdr:nvGrpSpPr>
        <xdr:cNvPr id="1000" name="Group 1000"/>
        <xdr:cNvGrpSpPr>
          <a:grpSpLocks/>
        </xdr:cNvGrpSpPr>
      </xdr:nvGrpSpPr>
      <xdr:grpSpPr>
        <a:xfrm>
          <a:off x="4829175" y="4486275"/>
          <a:ext cx="219075" cy="219075"/>
          <a:chOff x="47" y="457"/>
          <a:chExt cx="23" cy="23"/>
        </a:xfrm>
        <a:solidFill>
          <a:srgbClr val="FFFFFF"/>
        </a:solidFill>
      </xdr:grpSpPr>
      <xdr:sp>
        <xdr:nvSpPr>
          <xdr:cNvPr id="1001" name="Oval 1001"/>
          <xdr:cNvSpPr>
            <a:spLocks/>
          </xdr:cNvSpPr>
        </xdr:nvSpPr>
        <xdr:spPr>
          <a:xfrm>
            <a:off x="48" y="462"/>
            <a:ext cx="18" cy="17"/>
          </a:xfrm>
          <a:prstGeom prst="ellipse">
            <a:avLst/>
          </a:prstGeom>
          <a:solidFill>
            <a:srgbClr val="FFFFFF"/>
          </a:solidFill>
          <a:ln w="9525" cmpd="sng">
            <a:solidFill>
              <a:srgbClr val="000000"/>
            </a:solidFill>
            <a:headEnd type="none"/>
            <a:tailEnd type="none"/>
          </a:ln>
        </xdr:spPr>
        <xdr:txBody>
          <a:bodyPr vertOverflow="clip" wrap="square" anchor="b"/>
          <a:p>
            <a:pPr algn="ctr">
              <a:defRPr/>
            </a:pPr>
            <a:r>
              <a:rPr lang="en-US" cap="none" u="none" baseline="0">
                <a:latin typeface="ＭＳ Ｐゴシック"/>
                <a:ea typeface="ＭＳ Ｐゴシック"/>
                <a:cs typeface="ＭＳ Ｐゴシック"/>
              </a:rPr>
              <a:t/>
            </a:r>
          </a:p>
        </xdr:txBody>
      </xdr:sp>
      <xdr:sp>
        <xdr:nvSpPr>
          <xdr:cNvPr id="1002" name="Oval 1002"/>
          <xdr:cNvSpPr>
            <a:spLocks/>
          </xdr:cNvSpPr>
        </xdr:nvSpPr>
        <xdr:spPr>
          <a:xfrm>
            <a:off x="47" y="457"/>
            <a:ext cx="23" cy="23"/>
          </a:xfrm>
          <a:prstGeom prst="ellipse">
            <a:avLst/>
          </a:prstGeom>
          <a:noFill/>
          <a:ln w="9525" cmpd="sng">
            <a:noFill/>
          </a:ln>
        </xdr:spPr>
        <xdr:txBody>
          <a:bodyPr vertOverflow="clip" wrap="square" anchor="b"/>
          <a:p>
            <a:pPr algn="ctr">
              <a:defRPr/>
            </a:pPr>
            <a:r>
              <a:rPr lang="en-US" cap="none" sz="900" b="0" i="0" u="none" baseline="0">
                <a:latin typeface="ＭＳ Ｐゴシック"/>
                <a:ea typeface="ＭＳ Ｐゴシック"/>
                <a:cs typeface="ＭＳ Ｐゴシック"/>
              </a:rPr>
              <a:t>Ｊ</a:t>
            </a:r>
          </a:p>
        </xdr:txBody>
      </xdr:sp>
    </xdr:grpSp>
    <xdr:clientData/>
  </xdr:twoCellAnchor>
  <xdr:twoCellAnchor editAs="absolute">
    <xdr:from>
      <xdr:col>19</xdr:col>
      <xdr:colOff>47625</xdr:colOff>
      <xdr:row>15</xdr:row>
      <xdr:rowOff>104775</xdr:rowOff>
    </xdr:from>
    <xdr:to>
      <xdr:col>20</xdr:col>
      <xdr:colOff>76200</xdr:colOff>
      <xdr:row>16</xdr:row>
      <xdr:rowOff>152400</xdr:rowOff>
    </xdr:to>
    <xdr:grpSp>
      <xdr:nvGrpSpPr>
        <xdr:cNvPr id="1003" name="Group 1003"/>
        <xdr:cNvGrpSpPr>
          <a:grpSpLocks/>
        </xdr:cNvGrpSpPr>
      </xdr:nvGrpSpPr>
      <xdr:grpSpPr>
        <a:xfrm>
          <a:off x="3667125" y="2619375"/>
          <a:ext cx="219075" cy="219075"/>
          <a:chOff x="47" y="457"/>
          <a:chExt cx="23" cy="23"/>
        </a:xfrm>
        <a:solidFill>
          <a:srgbClr val="FFFFFF"/>
        </a:solidFill>
      </xdr:grpSpPr>
      <xdr:sp>
        <xdr:nvSpPr>
          <xdr:cNvPr id="1004" name="Oval 1004"/>
          <xdr:cNvSpPr>
            <a:spLocks/>
          </xdr:cNvSpPr>
        </xdr:nvSpPr>
        <xdr:spPr>
          <a:xfrm>
            <a:off x="48" y="462"/>
            <a:ext cx="18" cy="17"/>
          </a:xfrm>
          <a:prstGeom prst="ellipse">
            <a:avLst/>
          </a:prstGeom>
          <a:solidFill>
            <a:srgbClr val="FFFFFF"/>
          </a:solidFill>
          <a:ln w="9525" cmpd="sng">
            <a:solidFill>
              <a:srgbClr val="000000"/>
            </a:solidFill>
            <a:headEnd type="none"/>
            <a:tailEnd type="none"/>
          </a:ln>
        </xdr:spPr>
        <xdr:txBody>
          <a:bodyPr vertOverflow="clip" wrap="square" anchor="b"/>
          <a:p>
            <a:pPr algn="ctr">
              <a:defRPr/>
            </a:pPr>
            <a:r>
              <a:rPr lang="en-US" cap="none" u="none" baseline="0">
                <a:latin typeface="ＭＳ Ｐゴシック"/>
                <a:ea typeface="ＭＳ Ｐゴシック"/>
                <a:cs typeface="ＭＳ Ｐゴシック"/>
              </a:rPr>
              <a:t/>
            </a:r>
          </a:p>
        </xdr:txBody>
      </xdr:sp>
      <xdr:sp>
        <xdr:nvSpPr>
          <xdr:cNvPr id="1005" name="Oval 1005"/>
          <xdr:cNvSpPr>
            <a:spLocks/>
          </xdr:cNvSpPr>
        </xdr:nvSpPr>
        <xdr:spPr>
          <a:xfrm>
            <a:off x="47" y="457"/>
            <a:ext cx="23" cy="23"/>
          </a:xfrm>
          <a:prstGeom prst="ellipse">
            <a:avLst/>
          </a:prstGeom>
          <a:noFill/>
          <a:ln w="9525" cmpd="sng">
            <a:noFill/>
          </a:ln>
        </xdr:spPr>
        <xdr:txBody>
          <a:bodyPr vertOverflow="clip" wrap="square" anchor="b"/>
          <a:p>
            <a:pPr algn="ctr">
              <a:defRPr/>
            </a:pPr>
            <a:r>
              <a:rPr lang="en-US" cap="none" sz="900" b="0" i="0" u="none" baseline="0">
                <a:latin typeface="ＭＳ Ｐゴシック"/>
                <a:ea typeface="ＭＳ Ｐゴシック"/>
                <a:cs typeface="ＭＳ Ｐゴシック"/>
              </a:rPr>
              <a:t>Ｊ</a:t>
            </a:r>
          </a:p>
        </xdr:txBody>
      </xdr:sp>
    </xdr:grpSp>
    <xdr:clientData/>
  </xdr:twoCellAnchor>
  <xdr:twoCellAnchor editAs="absolute">
    <xdr:from>
      <xdr:col>12</xdr:col>
      <xdr:colOff>171450</xdr:colOff>
      <xdr:row>13</xdr:row>
      <xdr:rowOff>57150</xdr:rowOff>
    </xdr:from>
    <xdr:to>
      <xdr:col>14</xdr:col>
      <xdr:colOff>9525</xdr:colOff>
      <xdr:row>14</xdr:row>
      <xdr:rowOff>104775</xdr:rowOff>
    </xdr:to>
    <xdr:grpSp>
      <xdr:nvGrpSpPr>
        <xdr:cNvPr id="1006" name="Group 1006"/>
        <xdr:cNvGrpSpPr>
          <a:grpSpLocks/>
        </xdr:cNvGrpSpPr>
      </xdr:nvGrpSpPr>
      <xdr:grpSpPr>
        <a:xfrm>
          <a:off x="2457450" y="2228850"/>
          <a:ext cx="219075" cy="219075"/>
          <a:chOff x="47" y="457"/>
          <a:chExt cx="23" cy="23"/>
        </a:xfrm>
        <a:solidFill>
          <a:srgbClr val="FFFFFF"/>
        </a:solidFill>
      </xdr:grpSpPr>
      <xdr:sp>
        <xdr:nvSpPr>
          <xdr:cNvPr id="1007" name="Oval 1007"/>
          <xdr:cNvSpPr>
            <a:spLocks/>
          </xdr:cNvSpPr>
        </xdr:nvSpPr>
        <xdr:spPr>
          <a:xfrm>
            <a:off x="48" y="462"/>
            <a:ext cx="18" cy="17"/>
          </a:xfrm>
          <a:prstGeom prst="ellipse">
            <a:avLst/>
          </a:prstGeom>
          <a:solidFill>
            <a:srgbClr val="FFFFFF"/>
          </a:solidFill>
          <a:ln w="9525" cmpd="sng">
            <a:solidFill>
              <a:srgbClr val="000000"/>
            </a:solidFill>
            <a:headEnd type="none"/>
            <a:tailEnd type="none"/>
          </a:ln>
        </xdr:spPr>
        <xdr:txBody>
          <a:bodyPr vertOverflow="clip" wrap="square" anchor="b"/>
          <a:p>
            <a:pPr algn="ctr">
              <a:defRPr/>
            </a:pPr>
            <a:r>
              <a:rPr lang="en-US" cap="none" u="none" baseline="0">
                <a:latin typeface="ＭＳ Ｐゴシック"/>
                <a:ea typeface="ＭＳ Ｐゴシック"/>
                <a:cs typeface="ＭＳ Ｐゴシック"/>
              </a:rPr>
              <a:t/>
            </a:r>
          </a:p>
        </xdr:txBody>
      </xdr:sp>
      <xdr:sp>
        <xdr:nvSpPr>
          <xdr:cNvPr id="1008" name="Oval 1008"/>
          <xdr:cNvSpPr>
            <a:spLocks/>
          </xdr:cNvSpPr>
        </xdr:nvSpPr>
        <xdr:spPr>
          <a:xfrm>
            <a:off x="47" y="457"/>
            <a:ext cx="23" cy="23"/>
          </a:xfrm>
          <a:prstGeom prst="ellipse">
            <a:avLst/>
          </a:prstGeom>
          <a:noFill/>
          <a:ln w="9525" cmpd="sng">
            <a:noFill/>
          </a:ln>
        </xdr:spPr>
        <xdr:txBody>
          <a:bodyPr vertOverflow="clip" wrap="square" anchor="b"/>
          <a:p>
            <a:pPr algn="ctr">
              <a:defRPr/>
            </a:pPr>
            <a:r>
              <a:rPr lang="en-US" cap="none" sz="900" b="0" i="0" u="none" baseline="0">
                <a:latin typeface="ＭＳ Ｐゴシック"/>
                <a:ea typeface="ＭＳ Ｐゴシック"/>
                <a:cs typeface="ＭＳ Ｐゴシック"/>
              </a:rPr>
              <a:t>Ｊ</a:t>
            </a:r>
          </a:p>
        </xdr:txBody>
      </xdr:sp>
    </xdr:grpSp>
    <xdr:clientData/>
  </xdr:twoCellAnchor>
  <xdr:twoCellAnchor editAs="absolute">
    <xdr:from>
      <xdr:col>5</xdr:col>
      <xdr:colOff>152400</xdr:colOff>
      <xdr:row>11</xdr:row>
      <xdr:rowOff>76200</xdr:rowOff>
    </xdr:from>
    <xdr:to>
      <xdr:col>6</xdr:col>
      <xdr:colOff>180975</xdr:colOff>
      <xdr:row>12</xdr:row>
      <xdr:rowOff>123825</xdr:rowOff>
    </xdr:to>
    <xdr:grpSp>
      <xdr:nvGrpSpPr>
        <xdr:cNvPr id="1009" name="Group 1009"/>
        <xdr:cNvGrpSpPr>
          <a:grpSpLocks/>
        </xdr:cNvGrpSpPr>
      </xdr:nvGrpSpPr>
      <xdr:grpSpPr>
        <a:xfrm>
          <a:off x="1104900" y="1905000"/>
          <a:ext cx="219075" cy="219075"/>
          <a:chOff x="47" y="457"/>
          <a:chExt cx="23" cy="23"/>
        </a:xfrm>
        <a:solidFill>
          <a:srgbClr val="FFFFFF"/>
        </a:solidFill>
      </xdr:grpSpPr>
      <xdr:sp>
        <xdr:nvSpPr>
          <xdr:cNvPr id="1010" name="Oval 1010"/>
          <xdr:cNvSpPr>
            <a:spLocks/>
          </xdr:cNvSpPr>
        </xdr:nvSpPr>
        <xdr:spPr>
          <a:xfrm>
            <a:off x="48" y="462"/>
            <a:ext cx="18" cy="17"/>
          </a:xfrm>
          <a:prstGeom prst="ellipse">
            <a:avLst/>
          </a:prstGeom>
          <a:solidFill>
            <a:srgbClr val="FFFFFF"/>
          </a:solidFill>
          <a:ln w="9525" cmpd="sng">
            <a:solidFill>
              <a:srgbClr val="000000"/>
            </a:solidFill>
            <a:headEnd type="none"/>
            <a:tailEnd type="none"/>
          </a:ln>
        </xdr:spPr>
        <xdr:txBody>
          <a:bodyPr vertOverflow="clip" wrap="square" anchor="b"/>
          <a:p>
            <a:pPr algn="ctr">
              <a:defRPr/>
            </a:pPr>
            <a:r>
              <a:rPr lang="en-US" cap="none" u="none" baseline="0">
                <a:latin typeface="ＭＳ Ｐゴシック"/>
                <a:ea typeface="ＭＳ Ｐゴシック"/>
                <a:cs typeface="ＭＳ Ｐゴシック"/>
              </a:rPr>
              <a:t/>
            </a:r>
          </a:p>
        </xdr:txBody>
      </xdr:sp>
      <xdr:sp>
        <xdr:nvSpPr>
          <xdr:cNvPr id="1011" name="Oval 1011"/>
          <xdr:cNvSpPr>
            <a:spLocks/>
          </xdr:cNvSpPr>
        </xdr:nvSpPr>
        <xdr:spPr>
          <a:xfrm>
            <a:off x="47" y="457"/>
            <a:ext cx="23" cy="23"/>
          </a:xfrm>
          <a:prstGeom prst="ellipse">
            <a:avLst/>
          </a:prstGeom>
          <a:noFill/>
          <a:ln w="9525" cmpd="sng">
            <a:noFill/>
          </a:ln>
        </xdr:spPr>
        <xdr:txBody>
          <a:bodyPr vertOverflow="clip" wrap="square" anchor="b"/>
          <a:p>
            <a:pPr algn="ctr">
              <a:defRPr/>
            </a:pPr>
            <a:r>
              <a:rPr lang="en-US" cap="none" sz="900" b="0" i="0" u="none" baseline="0">
                <a:latin typeface="ＭＳ Ｐゴシック"/>
                <a:ea typeface="ＭＳ Ｐゴシック"/>
                <a:cs typeface="ＭＳ Ｐゴシック"/>
              </a:rPr>
              <a:t>Ｊ</a:t>
            </a:r>
          </a:p>
        </xdr:txBody>
      </xdr:sp>
    </xdr:grpSp>
    <xdr:clientData/>
  </xdr:twoCellAnchor>
  <xdr:twoCellAnchor editAs="absolute">
    <xdr:from>
      <xdr:col>13</xdr:col>
      <xdr:colOff>38100</xdr:colOff>
      <xdr:row>15</xdr:row>
      <xdr:rowOff>104775</xdr:rowOff>
    </xdr:from>
    <xdr:to>
      <xdr:col>14</xdr:col>
      <xdr:colOff>66675</xdr:colOff>
      <xdr:row>16</xdr:row>
      <xdr:rowOff>152400</xdr:rowOff>
    </xdr:to>
    <xdr:grpSp>
      <xdr:nvGrpSpPr>
        <xdr:cNvPr id="1012" name="Group 1012"/>
        <xdr:cNvGrpSpPr>
          <a:grpSpLocks/>
        </xdr:cNvGrpSpPr>
      </xdr:nvGrpSpPr>
      <xdr:grpSpPr>
        <a:xfrm>
          <a:off x="2514600" y="2619375"/>
          <a:ext cx="219075" cy="219075"/>
          <a:chOff x="47" y="457"/>
          <a:chExt cx="23" cy="23"/>
        </a:xfrm>
        <a:solidFill>
          <a:srgbClr val="FFFFFF"/>
        </a:solidFill>
      </xdr:grpSpPr>
      <xdr:sp>
        <xdr:nvSpPr>
          <xdr:cNvPr id="1013" name="Oval 1013"/>
          <xdr:cNvSpPr>
            <a:spLocks/>
          </xdr:cNvSpPr>
        </xdr:nvSpPr>
        <xdr:spPr>
          <a:xfrm>
            <a:off x="48" y="462"/>
            <a:ext cx="18" cy="17"/>
          </a:xfrm>
          <a:prstGeom prst="ellipse">
            <a:avLst/>
          </a:prstGeom>
          <a:solidFill>
            <a:srgbClr val="FFFFFF"/>
          </a:solidFill>
          <a:ln w="9525" cmpd="sng">
            <a:solidFill>
              <a:srgbClr val="000000"/>
            </a:solidFill>
            <a:headEnd type="none"/>
            <a:tailEnd type="none"/>
          </a:ln>
        </xdr:spPr>
        <xdr:txBody>
          <a:bodyPr vertOverflow="clip" wrap="square" anchor="b"/>
          <a:p>
            <a:pPr algn="ctr">
              <a:defRPr/>
            </a:pPr>
            <a:r>
              <a:rPr lang="en-US" cap="none" u="none" baseline="0">
                <a:latin typeface="ＭＳ Ｐゴシック"/>
                <a:ea typeface="ＭＳ Ｐゴシック"/>
                <a:cs typeface="ＭＳ Ｐゴシック"/>
              </a:rPr>
              <a:t/>
            </a:r>
          </a:p>
        </xdr:txBody>
      </xdr:sp>
      <xdr:sp>
        <xdr:nvSpPr>
          <xdr:cNvPr id="1014" name="Oval 1014"/>
          <xdr:cNvSpPr>
            <a:spLocks/>
          </xdr:cNvSpPr>
        </xdr:nvSpPr>
        <xdr:spPr>
          <a:xfrm>
            <a:off x="47" y="457"/>
            <a:ext cx="23" cy="23"/>
          </a:xfrm>
          <a:prstGeom prst="ellipse">
            <a:avLst/>
          </a:prstGeom>
          <a:noFill/>
          <a:ln w="9525" cmpd="sng">
            <a:noFill/>
          </a:ln>
        </xdr:spPr>
        <xdr:txBody>
          <a:bodyPr vertOverflow="clip" wrap="square" anchor="b"/>
          <a:p>
            <a:pPr algn="ctr">
              <a:defRPr/>
            </a:pPr>
            <a:r>
              <a:rPr lang="en-US" cap="none" sz="900" b="0" i="0" u="none" baseline="0">
                <a:latin typeface="ＭＳ Ｐゴシック"/>
                <a:ea typeface="ＭＳ Ｐゴシック"/>
                <a:cs typeface="ＭＳ Ｐゴシック"/>
              </a:rPr>
              <a:t>Ｊ</a:t>
            </a:r>
          </a:p>
        </xdr:txBody>
      </xdr:sp>
    </xdr:grpSp>
    <xdr:clientData/>
  </xdr:twoCellAnchor>
  <xdr:twoCellAnchor editAs="absolute">
    <xdr:from>
      <xdr:col>17</xdr:col>
      <xdr:colOff>38100</xdr:colOff>
      <xdr:row>2</xdr:row>
      <xdr:rowOff>142875</xdr:rowOff>
    </xdr:from>
    <xdr:to>
      <xdr:col>18</xdr:col>
      <xdr:colOff>66675</xdr:colOff>
      <xdr:row>4</xdr:row>
      <xdr:rowOff>19050</xdr:rowOff>
    </xdr:to>
    <xdr:grpSp>
      <xdr:nvGrpSpPr>
        <xdr:cNvPr id="1015" name="Group 1015"/>
        <xdr:cNvGrpSpPr>
          <a:grpSpLocks/>
        </xdr:cNvGrpSpPr>
      </xdr:nvGrpSpPr>
      <xdr:grpSpPr>
        <a:xfrm>
          <a:off x="3276600" y="428625"/>
          <a:ext cx="219075" cy="219075"/>
          <a:chOff x="47" y="457"/>
          <a:chExt cx="23" cy="23"/>
        </a:xfrm>
        <a:solidFill>
          <a:srgbClr val="FFFFFF"/>
        </a:solidFill>
      </xdr:grpSpPr>
      <xdr:sp>
        <xdr:nvSpPr>
          <xdr:cNvPr id="1016" name="Oval 1016"/>
          <xdr:cNvSpPr>
            <a:spLocks/>
          </xdr:cNvSpPr>
        </xdr:nvSpPr>
        <xdr:spPr>
          <a:xfrm>
            <a:off x="48" y="462"/>
            <a:ext cx="18" cy="17"/>
          </a:xfrm>
          <a:prstGeom prst="ellipse">
            <a:avLst/>
          </a:prstGeom>
          <a:solidFill>
            <a:srgbClr val="FFFFFF"/>
          </a:solidFill>
          <a:ln w="9525" cmpd="sng">
            <a:solidFill>
              <a:srgbClr val="000000"/>
            </a:solidFill>
            <a:headEnd type="none"/>
            <a:tailEnd type="none"/>
          </a:ln>
        </xdr:spPr>
        <xdr:txBody>
          <a:bodyPr vertOverflow="clip" wrap="square" anchor="b"/>
          <a:p>
            <a:pPr algn="ctr">
              <a:defRPr/>
            </a:pPr>
            <a:r>
              <a:rPr lang="en-US" cap="none" u="none" baseline="0">
                <a:latin typeface="ＭＳ Ｐゴシック"/>
                <a:ea typeface="ＭＳ Ｐゴシック"/>
                <a:cs typeface="ＭＳ Ｐゴシック"/>
              </a:rPr>
              <a:t/>
            </a:r>
          </a:p>
        </xdr:txBody>
      </xdr:sp>
      <xdr:sp>
        <xdr:nvSpPr>
          <xdr:cNvPr id="1017" name="Oval 1017"/>
          <xdr:cNvSpPr>
            <a:spLocks/>
          </xdr:cNvSpPr>
        </xdr:nvSpPr>
        <xdr:spPr>
          <a:xfrm>
            <a:off x="47" y="457"/>
            <a:ext cx="23" cy="23"/>
          </a:xfrm>
          <a:prstGeom prst="ellipse">
            <a:avLst/>
          </a:prstGeom>
          <a:noFill/>
          <a:ln w="9525" cmpd="sng">
            <a:noFill/>
          </a:ln>
        </xdr:spPr>
        <xdr:txBody>
          <a:bodyPr vertOverflow="clip" wrap="square" anchor="b"/>
          <a:p>
            <a:pPr algn="ctr">
              <a:defRPr/>
            </a:pPr>
            <a:r>
              <a:rPr lang="en-US" cap="none" sz="900" b="0" i="0" u="none" baseline="0">
                <a:latin typeface="ＭＳ Ｐゴシック"/>
                <a:ea typeface="ＭＳ Ｐゴシック"/>
                <a:cs typeface="ＭＳ Ｐゴシック"/>
              </a:rPr>
              <a:t>Ｊ</a:t>
            </a:r>
          </a:p>
        </xdr:txBody>
      </xdr:sp>
    </xdr:grpSp>
    <xdr:clientData/>
  </xdr:twoCellAnchor>
  <xdr:twoCellAnchor editAs="absolute">
    <xdr:from>
      <xdr:col>13</xdr:col>
      <xdr:colOff>9525</xdr:colOff>
      <xdr:row>14</xdr:row>
      <xdr:rowOff>123825</xdr:rowOff>
    </xdr:from>
    <xdr:to>
      <xdr:col>14</xdr:col>
      <xdr:colOff>66675</xdr:colOff>
      <xdr:row>16</xdr:row>
      <xdr:rowOff>28575</xdr:rowOff>
    </xdr:to>
    <xdr:grpSp>
      <xdr:nvGrpSpPr>
        <xdr:cNvPr id="1018" name="Group 1018"/>
        <xdr:cNvGrpSpPr>
          <a:grpSpLocks/>
        </xdr:cNvGrpSpPr>
      </xdr:nvGrpSpPr>
      <xdr:grpSpPr>
        <a:xfrm>
          <a:off x="2486025" y="2466975"/>
          <a:ext cx="247650" cy="247650"/>
          <a:chOff x="27" y="458"/>
          <a:chExt cx="26" cy="26"/>
        </a:xfrm>
        <a:solidFill>
          <a:srgbClr val="FFFFFF"/>
        </a:solidFill>
      </xdr:grpSpPr>
      <xdr:sp>
        <xdr:nvSpPr>
          <xdr:cNvPr id="1019" name="Oval 1019"/>
          <xdr:cNvSpPr>
            <a:spLocks/>
          </xdr:cNvSpPr>
        </xdr:nvSpPr>
        <xdr:spPr>
          <a:xfrm>
            <a:off x="31" y="464"/>
            <a:ext cx="18" cy="17"/>
          </a:xfrm>
          <a:prstGeom prst="ellipse">
            <a:avLst/>
          </a:prstGeom>
          <a:solidFill>
            <a:srgbClr val="FFFFFF"/>
          </a:solidFill>
          <a:ln w="9525" cmpd="sng">
            <a:solidFill>
              <a:srgbClr val="000000"/>
            </a:solidFill>
            <a:headEnd type="none"/>
            <a:tailEnd type="none"/>
          </a:ln>
        </xdr:spPr>
        <xdr:txBody>
          <a:bodyPr vertOverflow="clip" wrap="square" anchor="b"/>
          <a:p>
            <a:pPr algn="ctr">
              <a:defRPr/>
            </a:pPr>
            <a:r>
              <a:rPr lang="en-US" cap="none" u="none" baseline="0">
                <a:latin typeface="ＭＳ Ｐゴシック"/>
                <a:ea typeface="ＭＳ Ｐゴシック"/>
                <a:cs typeface="ＭＳ Ｐゴシック"/>
              </a:rPr>
              <a:t/>
            </a:r>
          </a:p>
        </xdr:txBody>
      </xdr:sp>
      <xdr:sp>
        <xdr:nvSpPr>
          <xdr:cNvPr id="1020" name="Oval 1020"/>
          <xdr:cNvSpPr>
            <a:spLocks/>
          </xdr:cNvSpPr>
        </xdr:nvSpPr>
        <xdr:spPr>
          <a:xfrm>
            <a:off x="27" y="458"/>
            <a:ext cx="26" cy="26"/>
          </a:xfrm>
          <a:prstGeom prst="ellipse">
            <a:avLst/>
          </a:prstGeom>
          <a:noFill/>
          <a:ln w="9525" cmpd="sng">
            <a:noFill/>
          </a:ln>
        </xdr:spPr>
        <xdr:txBody>
          <a:bodyPr vertOverflow="clip" wrap="square" anchor="b"/>
          <a:p>
            <a:pPr algn="ctr">
              <a:defRPr/>
            </a:pPr>
            <a:r>
              <a:rPr lang="en-US" cap="none" sz="900" b="0" i="0" u="none" baseline="0">
                <a:latin typeface="ＭＳ Ｐゴシック"/>
                <a:ea typeface="ＭＳ Ｐゴシック"/>
                <a:cs typeface="ＭＳ Ｐゴシック"/>
              </a:rPr>
              <a:t>京</a:t>
            </a:r>
          </a:p>
        </xdr:txBody>
      </xdr:sp>
    </xdr:grpSp>
    <xdr:clientData/>
  </xdr:twoCellAnchor>
  <xdr:twoCellAnchor editAs="absolute">
    <xdr:from>
      <xdr:col>25</xdr:col>
      <xdr:colOff>123825</xdr:colOff>
      <xdr:row>16</xdr:row>
      <xdr:rowOff>76200</xdr:rowOff>
    </xdr:from>
    <xdr:to>
      <xdr:col>26</xdr:col>
      <xdr:colOff>180975</xdr:colOff>
      <xdr:row>17</xdr:row>
      <xdr:rowOff>152400</xdr:rowOff>
    </xdr:to>
    <xdr:grpSp>
      <xdr:nvGrpSpPr>
        <xdr:cNvPr id="1021" name="Group 1021"/>
        <xdr:cNvGrpSpPr>
          <a:grpSpLocks/>
        </xdr:cNvGrpSpPr>
      </xdr:nvGrpSpPr>
      <xdr:grpSpPr>
        <a:xfrm>
          <a:off x="4886325" y="2762250"/>
          <a:ext cx="247650" cy="247650"/>
          <a:chOff x="27" y="458"/>
          <a:chExt cx="26" cy="26"/>
        </a:xfrm>
        <a:solidFill>
          <a:srgbClr val="FFFFFF"/>
        </a:solidFill>
      </xdr:grpSpPr>
      <xdr:sp>
        <xdr:nvSpPr>
          <xdr:cNvPr id="1022" name="Oval 1022"/>
          <xdr:cNvSpPr>
            <a:spLocks/>
          </xdr:cNvSpPr>
        </xdr:nvSpPr>
        <xdr:spPr>
          <a:xfrm>
            <a:off x="31" y="464"/>
            <a:ext cx="18" cy="17"/>
          </a:xfrm>
          <a:prstGeom prst="ellipse">
            <a:avLst/>
          </a:prstGeom>
          <a:solidFill>
            <a:srgbClr val="FFFFFF"/>
          </a:solidFill>
          <a:ln w="9525" cmpd="sng">
            <a:solidFill>
              <a:srgbClr val="000000"/>
            </a:solidFill>
            <a:headEnd type="none"/>
            <a:tailEnd type="none"/>
          </a:ln>
        </xdr:spPr>
        <xdr:txBody>
          <a:bodyPr vertOverflow="clip" wrap="square" anchor="b"/>
          <a:p>
            <a:pPr algn="ctr">
              <a:defRPr/>
            </a:pPr>
            <a:r>
              <a:rPr lang="en-US" cap="none" u="none" baseline="0">
                <a:latin typeface="ＭＳ Ｐゴシック"/>
                <a:ea typeface="ＭＳ Ｐゴシック"/>
                <a:cs typeface="ＭＳ Ｐゴシック"/>
              </a:rPr>
              <a:t/>
            </a:r>
          </a:p>
        </xdr:txBody>
      </xdr:sp>
      <xdr:sp>
        <xdr:nvSpPr>
          <xdr:cNvPr id="1023" name="Oval 1023"/>
          <xdr:cNvSpPr>
            <a:spLocks/>
          </xdr:cNvSpPr>
        </xdr:nvSpPr>
        <xdr:spPr>
          <a:xfrm>
            <a:off x="27" y="458"/>
            <a:ext cx="26" cy="26"/>
          </a:xfrm>
          <a:prstGeom prst="ellipse">
            <a:avLst/>
          </a:prstGeom>
          <a:noFill/>
          <a:ln w="9525" cmpd="sng">
            <a:noFill/>
          </a:ln>
        </xdr:spPr>
        <xdr:txBody>
          <a:bodyPr vertOverflow="clip" wrap="square" anchor="b"/>
          <a:p>
            <a:pPr algn="ctr">
              <a:defRPr/>
            </a:pPr>
            <a:r>
              <a:rPr lang="en-US" cap="none" sz="900" b="0" i="0" u="none" baseline="0">
                <a:latin typeface="ＭＳ Ｐゴシック"/>
                <a:ea typeface="ＭＳ Ｐゴシック"/>
                <a:cs typeface="ＭＳ Ｐゴシック"/>
              </a:rPr>
              <a:t>京</a:t>
            </a:r>
          </a:p>
        </xdr:txBody>
      </xdr:sp>
    </xdr:grpSp>
    <xdr:clientData/>
  </xdr:twoCellAnchor>
  <xdr:twoCellAnchor editAs="absolute">
    <xdr:from>
      <xdr:col>16</xdr:col>
      <xdr:colOff>57150</xdr:colOff>
      <xdr:row>9</xdr:row>
      <xdr:rowOff>38100</xdr:rowOff>
    </xdr:from>
    <xdr:to>
      <xdr:col>17</xdr:col>
      <xdr:colOff>114300</xdr:colOff>
      <xdr:row>10</xdr:row>
      <xdr:rowOff>114300</xdr:rowOff>
    </xdr:to>
    <xdr:grpSp>
      <xdr:nvGrpSpPr>
        <xdr:cNvPr id="1024" name="Group 0"/>
        <xdr:cNvGrpSpPr>
          <a:grpSpLocks/>
        </xdr:cNvGrpSpPr>
      </xdr:nvGrpSpPr>
      <xdr:grpSpPr>
        <a:xfrm>
          <a:off x="3105150" y="1524000"/>
          <a:ext cx="247650" cy="247650"/>
          <a:chOff x="27" y="458"/>
          <a:chExt cx="26" cy="26"/>
        </a:xfrm>
        <a:solidFill>
          <a:srgbClr val="FFFFFF"/>
        </a:solidFill>
      </xdr:grpSpPr>
      <xdr:sp>
        <xdr:nvSpPr>
          <xdr:cNvPr id="1025" name="Oval 1"/>
          <xdr:cNvSpPr>
            <a:spLocks/>
          </xdr:cNvSpPr>
        </xdr:nvSpPr>
        <xdr:spPr>
          <a:xfrm>
            <a:off x="31" y="464"/>
            <a:ext cx="18" cy="17"/>
          </a:xfrm>
          <a:prstGeom prst="ellipse">
            <a:avLst/>
          </a:prstGeom>
          <a:solidFill>
            <a:srgbClr val="FFFFFF"/>
          </a:solidFill>
          <a:ln w="9525" cmpd="sng">
            <a:solidFill>
              <a:srgbClr val="000000"/>
            </a:solidFill>
            <a:headEnd type="none"/>
            <a:tailEnd type="none"/>
          </a:ln>
        </xdr:spPr>
        <xdr:txBody>
          <a:bodyPr vertOverflow="clip" wrap="square" anchor="b"/>
          <a:p>
            <a:pPr algn="ctr">
              <a:defRPr/>
            </a:pPr>
            <a:r>
              <a:rPr lang="en-US" cap="none" u="none" baseline="0">
                <a:latin typeface="ＭＳ Ｐゴシック"/>
                <a:ea typeface="ＭＳ Ｐゴシック"/>
                <a:cs typeface="ＭＳ Ｐゴシック"/>
              </a:rPr>
              <a:t/>
            </a:r>
          </a:p>
        </xdr:txBody>
      </xdr:sp>
      <xdr:sp>
        <xdr:nvSpPr>
          <xdr:cNvPr id="1026" name="Oval 2"/>
          <xdr:cNvSpPr>
            <a:spLocks/>
          </xdr:cNvSpPr>
        </xdr:nvSpPr>
        <xdr:spPr>
          <a:xfrm>
            <a:off x="27" y="458"/>
            <a:ext cx="26" cy="26"/>
          </a:xfrm>
          <a:prstGeom prst="ellipse">
            <a:avLst/>
          </a:prstGeom>
          <a:noFill/>
          <a:ln w="9525" cmpd="sng">
            <a:noFill/>
          </a:ln>
        </xdr:spPr>
        <xdr:txBody>
          <a:bodyPr vertOverflow="clip" wrap="square" anchor="b"/>
          <a:p>
            <a:pPr algn="ctr">
              <a:defRPr/>
            </a:pPr>
            <a:r>
              <a:rPr lang="en-US" cap="none" sz="900" b="0" i="0" u="none" baseline="0">
                <a:latin typeface="ＭＳ Ｐゴシック"/>
                <a:ea typeface="ＭＳ Ｐゴシック"/>
                <a:cs typeface="ＭＳ Ｐゴシック"/>
              </a:rPr>
              <a:t>京</a:t>
            </a:r>
          </a:p>
        </xdr:txBody>
      </xdr:sp>
    </xdr:grpSp>
    <xdr:clientData/>
  </xdr:twoCellAnchor>
  <xdr:twoCellAnchor editAs="absolute">
    <xdr:from>
      <xdr:col>24</xdr:col>
      <xdr:colOff>161925</xdr:colOff>
      <xdr:row>21</xdr:row>
      <xdr:rowOff>57150</xdr:rowOff>
    </xdr:from>
    <xdr:to>
      <xdr:col>26</xdr:col>
      <xdr:colOff>28575</xdr:colOff>
      <xdr:row>22</xdr:row>
      <xdr:rowOff>133350</xdr:rowOff>
    </xdr:to>
    <xdr:grpSp>
      <xdr:nvGrpSpPr>
        <xdr:cNvPr id="1027" name="Group 6"/>
        <xdr:cNvGrpSpPr>
          <a:grpSpLocks/>
        </xdr:cNvGrpSpPr>
      </xdr:nvGrpSpPr>
      <xdr:grpSpPr>
        <a:xfrm>
          <a:off x="4733925" y="3600450"/>
          <a:ext cx="247650" cy="247650"/>
          <a:chOff x="77" y="458"/>
          <a:chExt cx="26" cy="26"/>
        </a:xfrm>
        <a:solidFill>
          <a:srgbClr val="FFFFFF"/>
        </a:solidFill>
      </xdr:grpSpPr>
      <xdr:sp>
        <xdr:nvSpPr>
          <xdr:cNvPr id="1028" name="Oval 7"/>
          <xdr:cNvSpPr>
            <a:spLocks/>
          </xdr:cNvSpPr>
        </xdr:nvSpPr>
        <xdr:spPr>
          <a:xfrm>
            <a:off x="81" y="464"/>
            <a:ext cx="18" cy="17"/>
          </a:xfrm>
          <a:prstGeom prst="ellipse">
            <a:avLst/>
          </a:prstGeom>
          <a:solidFill>
            <a:srgbClr val="FFFFFF"/>
          </a:solidFill>
          <a:ln w="9525" cmpd="sng">
            <a:solidFill>
              <a:srgbClr val="000000"/>
            </a:solidFill>
            <a:headEnd type="none"/>
            <a:tailEnd type="none"/>
          </a:ln>
        </xdr:spPr>
        <xdr:txBody>
          <a:bodyPr vertOverflow="clip" wrap="square" anchor="b"/>
          <a:p>
            <a:pPr algn="ctr">
              <a:defRPr/>
            </a:pPr>
            <a:r>
              <a:rPr lang="en-US" cap="none" u="none" baseline="0">
                <a:latin typeface="ＭＳ Ｐゴシック"/>
                <a:ea typeface="ＭＳ Ｐゴシック"/>
                <a:cs typeface="ＭＳ Ｐゴシック"/>
              </a:rPr>
              <a:t/>
            </a:r>
          </a:p>
        </xdr:txBody>
      </xdr:sp>
      <xdr:sp>
        <xdr:nvSpPr>
          <xdr:cNvPr id="1029" name="Oval 8"/>
          <xdr:cNvSpPr>
            <a:spLocks/>
          </xdr:cNvSpPr>
        </xdr:nvSpPr>
        <xdr:spPr>
          <a:xfrm>
            <a:off x="77" y="458"/>
            <a:ext cx="26" cy="26"/>
          </a:xfrm>
          <a:prstGeom prst="ellipse">
            <a:avLst/>
          </a:prstGeom>
          <a:noFill/>
          <a:ln w="9525" cmpd="sng">
            <a:noFill/>
          </a:ln>
        </xdr:spPr>
        <xdr:txBody>
          <a:bodyPr vertOverflow="clip" wrap="square" anchor="b"/>
          <a:p>
            <a:pPr algn="ctr">
              <a:defRPr/>
            </a:pPr>
            <a:r>
              <a:rPr lang="en-US" cap="none" sz="900" b="0" i="0" u="none" baseline="0">
                <a:latin typeface="ＭＳ Ｐゴシック"/>
                <a:ea typeface="ＭＳ Ｐゴシック"/>
                <a:cs typeface="ＭＳ Ｐゴシック"/>
              </a:rPr>
              <a:t>神</a:t>
            </a:r>
          </a:p>
        </xdr:txBody>
      </xdr:sp>
    </xdr:grpSp>
    <xdr:clientData/>
  </xdr:twoCellAnchor>
  <xdr:twoCellAnchor editAs="absolute">
    <xdr:from>
      <xdr:col>15</xdr:col>
      <xdr:colOff>123825</xdr:colOff>
      <xdr:row>15</xdr:row>
      <xdr:rowOff>66675</xdr:rowOff>
    </xdr:from>
    <xdr:to>
      <xdr:col>16</xdr:col>
      <xdr:colOff>180975</xdr:colOff>
      <xdr:row>16</xdr:row>
      <xdr:rowOff>142875</xdr:rowOff>
    </xdr:to>
    <xdr:grpSp>
      <xdr:nvGrpSpPr>
        <xdr:cNvPr id="1030" name="Group 9"/>
        <xdr:cNvGrpSpPr>
          <a:grpSpLocks/>
        </xdr:cNvGrpSpPr>
      </xdr:nvGrpSpPr>
      <xdr:grpSpPr>
        <a:xfrm>
          <a:off x="2981325" y="2581275"/>
          <a:ext cx="247650" cy="247650"/>
          <a:chOff x="101" y="458"/>
          <a:chExt cx="26" cy="26"/>
        </a:xfrm>
        <a:solidFill>
          <a:srgbClr val="FFFFFF"/>
        </a:solidFill>
      </xdr:grpSpPr>
      <xdr:sp>
        <xdr:nvSpPr>
          <xdr:cNvPr id="1031" name="Oval 10"/>
          <xdr:cNvSpPr>
            <a:spLocks/>
          </xdr:cNvSpPr>
        </xdr:nvSpPr>
        <xdr:spPr>
          <a:xfrm>
            <a:off x="105" y="464"/>
            <a:ext cx="18" cy="17"/>
          </a:xfrm>
          <a:prstGeom prst="ellipse">
            <a:avLst/>
          </a:prstGeom>
          <a:solidFill>
            <a:srgbClr val="FFFFFF"/>
          </a:solidFill>
          <a:ln w="9525" cmpd="sng">
            <a:solidFill>
              <a:srgbClr val="000000"/>
            </a:solidFill>
            <a:headEnd type="none"/>
            <a:tailEnd type="none"/>
          </a:ln>
        </xdr:spPr>
        <xdr:txBody>
          <a:bodyPr vertOverflow="clip" wrap="square" anchor="b"/>
          <a:p>
            <a:pPr algn="ctr">
              <a:defRPr/>
            </a:pPr>
            <a:r>
              <a:rPr lang="en-US" cap="none" u="none" baseline="0">
                <a:latin typeface="ＭＳ Ｐゴシック"/>
                <a:ea typeface="ＭＳ Ｐゴシック"/>
                <a:cs typeface="ＭＳ Ｐゴシック"/>
              </a:rPr>
              <a:t/>
            </a:r>
          </a:p>
        </xdr:txBody>
      </xdr:sp>
      <xdr:sp>
        <xdr:nvSpPr>
          <xdr:cNvPr id="1032" name="Oval 11"/>
          <xdr:cNvSpPr>
            <a:spLocks/>
          </xdr:cNvSpPr>
        </xdr:nvSpPr>
        <xdr:spPr>
          <a:xfrm>
            <a:off x="101" y="458"/>
            <a:ext cx="26" cy="26"/>
          </a:xfrm>
          <a:prstGeom prst="ellipse">
            <a:avLst/>
          </a:prstGeom>
          <a:noFill/>
          <a:ln w="9525" cmpd="sng">
            <a:noFill/>
          </a:ln>
        </xdr:spPr>
        <xdr:txBody>
          <a:bodyPr vertOverflow="clip" wrap="square" anchor="b"/>
          <a:p>
            <a:pPr algn="ctr">
              <a:defRPr/>
            </a:pPr>
            <a:r>
              <a:rPr lang="en-US" cap="none" sz="900" b="0" i="0" u="none" baseline="0">
                <a:latin typeface="ＭＳ Ｐゴシック"/>
                <a:ea typeface="ＭＳ Ｐゴシック"/>
                <a:cs typeface="ＭＳ Ｐゴシック"/>
              </a:rPr>
              <a:t>近</a:t>
            </a:r>
          </a:p>
        </xdr:txBody>
      </xdr:sp>
    </xdr:grpSp>
    <xdr:clientData/>
  </xdr:twoCellAnchor>
  <xdr:twoCellAnchor editAs="absolute">
    <xdr:from>
      <xdr:col>11</xdr:col>
      <xdr:colOff>28575</xdr:colOff>
      <xdr:row>11</xdr:row>
      <xdr:rowOff>76200</xdr:rowOff>
    </xdr:from>
    <xdr:to>
      <xdr:col>12</xdr:col>
      <xdr:colOff>85725</xdr:colOff>
      <xdr:row>12</xdr:row>
      <xdr:rowOff>152400</xdr:rowOff>
    </xdr:to>
    <xdr:grpSp>
      <xdr:nvGrpSpPr>
        <xdr:cNvPr id="1033" name="Group 12"/>
        <xdr:cNvGrpSpPr>
          <a:grpSpLocks/>
        </xdr:cNvGrpSpPr>
      </xdr:nvGrpSpPr>
      <xdr:grpSpPr>
        <a:xfrm>
          <a:off x="2124075" y="1905000"/>
          <a:ext cx="247650" cy="247650"/>
          <a:chOff x="99" y="485"/>
          <a:chExt cx="26" cy="26"/>
        </a:xfrm>
        <a:solidFill>
          <a:srgbClr val="FFFFFF"/>
        </a:solidFill>
      </xdr:grpSpPr>
      <xdr:sp>
        <xdr:nvSpPr>
          <xdr:cNvPr id="1034" name="Oval 13"/>
          <xdr:cNvSpPr>
            <a:spLocks/>
          </xdr:cNvSpPr>
        </xdr:nvSpPr>
        <xdr:spPr>
          <a:xfrm>
            <a:off x="103" y="491"/>
            <a:ext cx="18" cy="17"/>
          </a:xfrm>
          <a:prstGeom prst="ellipse">
            <a:avLst/>
          </a:prstGeom>
          <a:solidFill>
            <a:srgbClr val="FFFFFF"/>
          </a:solidFill>
          <a:ln w="9525" cmpd="sng">
            <a:solidFill>
              <a:srgbClr val="000000"/>
            </a:solidFill>
            <a:headEnd type="none"/>
            <a:tailEnd type="none"/>
          </a:ln>
        </xdr:spPr>
        <xdr:txBody>
          <a:bodyPr vertOverflow="clip" wrap="square" anchor="b"/>
          <a:p>
            <a:pPr algn="ctr">
              <a:defRPr/>
            </a:pPr>
            <a:r>
              <a:rPr lang="en-US" cap="none" u="none" baseline="0">
                <a:latin typeface="ＭＳ Ｐゴシック"/>
                <a:ea typeface="ＭＳ Ｐゴシック"/>
                <a:cs typeface="ＭＳ Ｐゴシック"/>
              </a:rPr>
              <a:t/>
            </a:r>
          </a:p>
        </xdr:txBody>
      </xdr:sp>
      <xdr:sp>
        <xdr:nvSpPr>
          <xdr:cNvPr id="1035" name="Oval 14"/>
          <xdr:cNvSpPr>
            <a:spLocks/>
          </xdr:cNvSpPr>
        </xdr:nvSpPr>
        <xdr:spPr>
          <a:xfrm>
            <a:off x="99" y="485"/>
            <a:ext cx="26" cy="26"/>
          </a:xfrm>
          <a:prstGeom prst="ellipse">
            <a:avLst/>
          </a:prstGeom>
          <a:noFill/>
          <a:ln w="9525" cmpd="sng">
            <a:noFill/>
          </a:ln>
        </xdr:spPr>
        <xdr:txBody>
          <a:bodyPr vertOverflow="clip" wrap="square" anchor="b"/>
          <a:p>
            <a:pPr algn="ctr">
              <a:defRPr/>
            </a:pPr>
            <a:r>
              <a:rPr lang="en-US" cap="none" sz="900" b="0" i="0" u="none" baseline="0">
                <a:latin typeface="ＭＳ Ｐゴシック"/>
                <a:ea typeface="ＭＳ Ｐゴシック"/>
                <a:cs typeface="ＭＳ Ｐゴシック"/>
              </a:rPr>
              <a:t>山</a:t>
            </a:r>
          </a:p>
        </xdr:txBody>
      </xdr:sp>
    </xdr:grpSp>
    <xdr:clientData/>
  </xdr:twoCellAnchor>
  <xdr:twoCellAnchor editAs="absolute">
    <xdr:from>
      <xdr:col>24</xdr:col>
      <xdr:colOff>57150</xdr:colOff>
      <xdr:row>30</xdr:row>
      <xdr:rowOff>114300</xdr:rowOff>
    </xdr:from>
    <xdr:to>
      <xdr:col>25</xdr:col>
      <xdr:colOff>114300</xdr:colOff>
      <xdr:row>32</xdr:row>
      <xdr:rowOff>28575</xdr:rowOff>
    </xdr:to>
    <xdr:grpSp>
      <xdr:nvGrpSpPr>
        <xdr:cNvPr id="1036" name="Group 15"/>
        <xdr:cNvGrpSpPr>
          <a:grpSpLocks/>
        </xdr:cNvGrpSpPr>
      </xdr:nvGrpSpPr>
      <xdr:grpSpPr>
        <a:xfrm>
          <a:off x="4629150" y="5191125"/>
          <a:ext cx="247650" cy="247650"/>
          <a:chOff x="83" y="470"/>
          <a:chExt cx="26" cy="26"/>
        </a:xfrm>
        <a:solidFill>
          <a:srgbClr val="FFFFFF"/>
        </a:solidFill>
      </xdr:grpSpPr>
      <xdr:sp>
        <xdr:nvSpPr>
          <xdr:cNvPr id="1037" name="Oval 16"/>
          <xdr:cNvSpPr>
            <a:spLocks/>
          </xdr:cNvSpPr>
        </xdr:nvSpPr>
        <xdr:spPr>
          <a:xfrm>
            <a:off x="87" y="476"/>
            <a:ext cx="18" cy="17"/>
          </a:xfrm>
          <a:prstGeom prst="ellipse">
            <a:avLst/>
          </a:prstGeom>
          <a:solidFill>
            <a:srgbClr val="FFFFFF"/>
          </a:solidFill>
          <a:ln w="9525" cmpd="sng">
            <a:solidFill>
              <a:srgbClr val="000000"/>
            </a:solidFill>
            <a:headEnd type="none"/>
            <a:tailEnd type="none"/>
          </a:ln>
        </xdr:spPr>
        <xdr:txBody>
          <a:bodyPr vertOverflow="clip" wrap="square" anchor="b"/>
          <a:p>
            <a:pPr algn="ctr">
              <a:defRPr/>
            </a:pPr>
            <a:r>
              <a:rPr lang="en-US" cap="none" u="none" baseline="0">
                <a:latin typeface="ＭＳ Ｐゴシック"/>
                <a:ea typeface="ＭＳ Ｐゴシック"/>
                <a:cs typeface="ＭＳ Ｐゴシック"/>
              </a:rPr>
              <a:t/>
            </a:r>
          </a:p>
        </xdr:txBody>
      </xdr:sp>
      <xdr:sp>
        <xdr:nvSpPr>
          <xdr:cNvPr id="1038" name="Oval 17"/>
          <xdr:cNvSpPr>
            <a:spLocks/>
          </xdr:cNvSpPr>
        </xdr:nvSpPr>
        <xdr:spPr>
          <a:xfrm>
            <a:off x="83" y="470"/>
            <a:ext cx="26" cy="26"/>
          </a:xfrm>
          <a:prstGeom prst="ellipse">
            <a:avLst/>
          </a:prstGeom>
          <a:noFill/>
          <a:ln w="9525" cmpd="sng">
            <a:noFill/>
          </a:ln>
        </xdr:spPr>
        <xdr:txBody>
          <a:bodyPr vertOverflow="clip" wrap="square" anchor="b"/>
          <a:p>
            <a:pPr algn="ctr">
              <a:defRPr/>
            </a:pPr>
            <a:r>
              <a:rPr lang="en-US" cap="none" sz="900" b="0" i="0" u="none" baseline="0">
                <a:latin typeface="ＭＳ Ｐゴシック"/>
                <a:ea typeface="ＭＳ Ｐゴシック"/>
                <a:cs typeface="ＭＳ Ｐゴシック"/>
              </a:rPr>
              <a:t>南</a:t>
            </a:r>
          </a:p>
        </xdr:txBody>
      </xdr:sp>
    </xdr:grpSp>
    <xdr:clientData/>
  </xdr:twoCellAnchor>
  <xdr:twoCellAnchor editAs="absolute">
    <xdr:from>
      <xdr:col>3</xdr:col>
      <xdr:colOff>57150</xdr:colOff>
      <xdr:row>11</xdr:row>
      <xdr:rowOff>76200</xdr:rowOff>
    </xdr:from>
    <xdr:to>
      <xdr:col>4</xdr:col>
      <xdr:colOff>114300</xdr:colOff>
      <xdr:row>12</xdr:row>
      <xdr:rowOff>152400</xdr:rowOff>
    </xdr:to>
    <xdr:grpSp>
      <xdr:nvGrpSpPr>
        <xdr:cNvPr id="1039" name="Group 21"/>
        <xdr:cNvGrpSpPr>
          <a:grpSpLocks/>
        </xdr:cNvGrpSpPr>
      </xdr:nvGrpSpPr>
      <xdr:grpSpPr>
        <a:xfrm>
          <a:off x="628650" y="1905000"/>
          <a:ext cx="247650" cy="247650"/>
          <a:chOff x="99" y="485"/>
          <a:chExt cx="26" cy="26"/>
        </a:xfrm>
        <a:solidFill>
          <a:srgbClr val="FFFFFF"/>
        </a:solidFill>
      </xdr:grpSpPr>
      <xdr:sp>
        <xdr:nvSpPr>
          <xdr:cNvPr id="1040" name="Oval 22"/>
          <xdr:cNvSpPr>
            <a:spLocks/>
          </xdr:cNvSpPr>
        </xdr:nvSpPr>
        <xdr:spPr>
          <a:xfrm>
            <a:off x="103" y="491"/>
            <a:ext cx="18" cy="17"/>
          </a:xfrm>
          <a:prstGeom prst="ellipse">
            <a:avLst/>
          </a:prstGeom>
          <a:solidFill>
            <a:srgbClr val="FFFFFF"/>
          </a:solidFill>
          <a:ln w="9525" cmpd="sng">
            <a:solidFill>
              <a:srgbClr val="000000"/>
            </a:solidFill>
            <a:headEnd type="none"/>
            <a:tailEnd type="none"/>
          </a:ln>
        </xdr:spPr>
        <xdr:txBody>
          <a:bodyPr vertOverflow="clip" wrap="square" anchor="b"/>
          <a:p>
            <a:pPr algn="ctr">
              <a:defRPr/>
            </a:pPr>
            <a:r>
              <a:rPr lang="en-US" cap="none" u="none" baseline="0">
                <a:latin typeface="ＭＳ Ｐゴシック"/>
                <a:ea typeface="ＭＳ Ｐゴシック"/>
                <a:cs typeface="ＭＳ Ｐゴシック"/>
              </a:rPr>
              <a:t/>
            </a:r>
          </a:p>
        </xdr:txBody>
      </xdr:sp>
      <xdr:sp>
        <xdr:nvSpPr>
          <xdr:cNvPr id="1041" name="Oval 23"/>
          <xdr:cNvSpPr>
            <a:spLocks/>
          </xdr:cNvSpPr>
        </xdr:nvSpPr>
        <xdr:spPr>
          <a:xfrm>
            <a:off x="99" y="485"/>
            <a:ext cx="26" cy="26"/>
          </a:xfrm>
          <a:prstGeom prst="ellipse">
            <a:avLst/>
          </a:prstGeom>
          <a:noFill/>
          <a:ln w="9525" cmpd="sng">
            <a:noFill/>
          </a:ln>
        </xdr:spPr>
        <xdr:txBody>
          <a:bodyPr vertOverflow="clip" wrap="square" anchor="b"/>
          <a:p>
            <a:pPr algn="ctr">
              <a:defRPr/>
            </a:pPr>
            <a:r>
              <a:rPr lang="en-US" cap="none" sz="900" b="0" i="0" u="none" baseline="0">
                <a:latin typeface="ＭＳ Ｐゴシック"/>
                <a:ea typeface="ＭＳ Ｐゴシック"/>
                <a:cs typeface="ＭＳ Ｐゴシック"/>
              </a:rPr>
              <a:t>山</a:t>
            </a:r>
          </a:p>
        </xdr:txBody>
      </xdr:sp>
    </xdr:grpSp>
    <xdr:clientData/>
  </xdr:twoCellAnchor>
  <xdr:twoCellAnchor editAs="absolute">
    <xdr:from>
      <xdr:col>23</xdr:col>
      <xdr:colOff>133350</xdr:colOff>
      <xdr:row>21</xdr:row>
      <xdr:rowOff>57150</xdr:rowOff>
    </xdr:from>
    <xdr:to>
      <xdr:col>25</xdr:col>
      <xdr:colOff>0</xdr:colOff>
      <xdr:row>22</xdr:row>
      <xdr:rowOff>133350</xdr:rowOff>
    </xdr:to>
    <xdr:grpSp>
      <xdr:nvGrpSpPr>
        <xdr:cNvPr id="1042" name="Group 24"/>
        <xdr:cNvGrpSpPr>
          <a:grpSpLocks/>
        </xdr:cNvGrpSpPr>
      </xdr:nvGrpSpPr>
      <xdr:grpSpPr>
        <a:xfrm rot="10774152">
          <a:off x="4514850" y="3600450"/>
          <a:ext cx="247650" cy="247650"/>
          <a:chOff x="77" y="458"/>
          <a:chExt cx="26" cy="26"/>
        </a:xfrm>
        <a:solidFill>
          <a:srgbClr val="FFFFFF"/>
        </a:solidFill>
      </xdr:grpSpPr>
      <xdr:sp>
        <xdr:nvSpPr>
          <xdr:cNvPr id="1043" name="Oval 25"/>
          <xdr:cNvSpPr>
            <a:spLocks/>
          </xdr:cNvSpPr>
        </xdr:nvSpPr>
        <xdr:spPr>
          <a:xfrm>
            <a:off x="81" y="464"/>
            <a:ext cx="18" cy="17"/>
          </a:xfrm>
          <a:prstGeom prst="ellipse">
            <a:avLst/>
          </a:prstGeom>
          <a:solidFill>
            <a:srgbClr val="FFFFFF"/>
          </a:solidFill>
          <a:ln w="9525" cmpd="sng">
            <a:solidFill>
              <a:srgbClr val="000000"/>
            </a:solidFill>
            <a:headEnd type="none"/>
            <a:tailEnd type="none"/>
          </a:ln>
        </xdr:spPr>
        <xdr:txBody>
          <a:bodyPr vertOverflow="clip" wrap="square" anchor="b"/>
          <a:p>
            <a:pPr algn="ctr">
              <a:defRPr/>
            </a:pPr>
            <a:r>
              <a:rPr lang="en-US" cap="none" u="none" baseline="0">
                <a:latin typeface="ＭＳ Ｐゴシック"/>
                <a:ea typeface="ＭＳ Ｐゴシック"/>
                <a:cs typeface="ＭＳ Ｐゴシック"/>
              </a:rPr>
              <a:t/>
            </a:r>
          </a:p>
        </xdr:txBody>
      </xdr:sp>
      <xdr:sp>
        <xdr:nvSpPr>
          <xdr:cNvPr id="1044" name="Oval 26"/>
          <xdr:cNvSpPr>
            <a:spLocks/>
          </xdr:cNvSpPr>
        </xdr:nvSpPr>
        <xdr:spPr>
          <a:xfrm>
            <a:off x="77" y="458"/>
            <a:ext cx="26" cy="26"/>
          </a:xfrm>
          <a:prstGeom prst="ellipse">
            <a:avLst/>
          </a:prstGeom>
          <a:noFill/>
          <a:ln w="9525" cmpd="sng">
            <a:noFill/>
          </a:ln>
        </xdr:spPr>
        <xdr:txBody>
          <a:bodyPr vertOverflow="clip" wrap="square" anchor="b"/>
          <a:p>
            <a:pPr algn="ctr">
              <a:defRPr/>
            </a:pPr>
            <a:r>
              <a:rPr lang="en-US" cap="none" sz="900" b="0" i="0" u="none" baseline="0">
                <a:latin typeface="ＭＳ Ｐゴシック"/>
                <a:ea typeface="ＭＳ Ｐゴシック"/>
                <a:cs typeface="ＭＳ Ｐゴシック"/>
              </a:rPr>
              <a:t>神</a:t>
            </a:r>
          </a:p>
        </xdr:txBody>
      </xdr:sp>
    </xdr:grpSp>
    <xdr:clientData/>
  </xdr:twoCellAnchor>
  <xdr:twoCellAnchor editAs="absolute">
    <xdr:from>
      <xdr:col>27</xdr:col>
      <xdr:colOff>123825</xdr:colOff>
      <xdr:row>28</xdr:row>
      <xdr:rowOff>9525</xdr:rowOff>
    </xdr:from>
    <xdr:to>
      <xdr:col>28</xdr:col>
      <xdr:colOff>180975</xdr:colOff>
      <xdr:row>29</xdr:row>
      <xdr:rowOff>85725</xdr:rowOff>
    </xdr:to>
    <xdr:grpSp>
      <xdr:nvGrpSpPr>
        <xdr:cNvPr id="1045" name="Group 27"/>
        <xdr:cNvGrpSpPr>
          <a:grpSpLocks/>
        </xdr:cNvGrpSpPr>
      </xdr:nvGrpSpPr>
      <xdr:grpSpPr>
        <a:xfrm>
          <a:off x="5267325" y="4752975"/>
          <a:ext cx="247650" cy="247650"/>
          <a:chOff x="77" y="458"/>
          <a:chExt cx="26" cy="26"/>
        </a:xfrm>
        <a:solidFill>
          <a:srgbClr val="FFFFFF"/>
        </a:solidFill>
      </xdr:grpSpPr>
      <xdr:sp>
        <xdr:nvSpPr>
          <xdr:cNvPr id="1046" name="Oval 28"/>
          <xdr:cNvSpPr>
            <a:spLocks/>
          </xdr:cNvSpPr>
        </xdr:nvSpPr>
        <xdr:spPr>
          <a:xfrm>
            <a:off x="81" y="464"/>
            <a:ext cx="18" cy="17"/>
          </a:xfrm>
          <a:prstGeom prst="ellipse">
            <a:avLst/>
          </a:prstGeom>
          <a:solidFill>
            <a:srgbClr val="FFFFFF"/>
          </a:solidFill>
          <a:ln w="9525" cmpd="sng">
            <a:solidFill>
              <a:srgbClr val="000000"/>
            </a:solidFill>
            <a:headEnd type="none"/>
            <a:tailEnd type="none"/>
          </a:ln>
        </xdr:spPr>
        <xdr:txBody>
          <a:bodyPr vertOverflow="clip" wrap="square" anchor="b"/>
          <a:p>
            <a:pPr algn="ctr">
              <a:defRPr/>
            </a:pPr>
            <a:r>
              <a:rPr lang="en-US" cap="none" u="none" baseline="0">
                <a:latin typeface="ＭＳ Ｐゴシック"/>
                <a:ea typeface="ＭＳ Ｐゴシック"/>
                <a:cs typeface="ＭＳ Ｐゴシック"/>
              </a:rPr>
              <a:t/>
            </a:r>
          </a:p>
        </xdr:txBody>
      </xdr:sp>
      <xdr:sp>
        <xdr:nvSpPr>
          <xdr:cNvPr id="1047" name="Oval 29"/>
          <xdr:cNvSpPr>
            <a:spLocks/>
          </xdr:cNvSpPr>
        </xdr:nvSpPr>
        <xdr:spPr>
          <a:xfrm>
            <a:off x="77" y="458"/>
            <a:ext cx="26" cy="26"/>
          </a:xfrm>
          <a:prstGeom prst="ellipse">
            <a:avLst/>
          </a:prstGeom>
          <a:noFill/>
          <a:ln w="9525" cmpd="sng">
            <a:noFill/>
          </a:ln>
        </xdr:spPr>
        <xdr:txBody>
          <a:bodyPr vertOverflow="clip" wrap="square" anchor="b"/>
          <a:p>
            <a:pPr algn="ctr">
              <a:defRPr/>
            </a:pPr>
            <a:r>
              <a:rPr lang="en-US" cap="none" sz="900" b="0" i="0" u="none" baseline="0">
                <a:latin typeface="ＭＳ Ｐゴシック"/>
                <a:ea typeface="ＭＳ Ｐゴシック"/>
                <a:cs typeface="ＭＳ Ｐゴシック"/>
              </a:rPr>
              <a:t>神</a:t>
            </a:r>
          </a:p>
        </xdr:txBody>
      </xdr:sp>
    </xdr:grpSp>
    <xdr:clientData/>
  </xdr:twoCellAnchor>
  <xdr:twoCellAnchor editAs="absolute">
    <xdr:from>
      <xdr:col>12</xdr:col>
      <xdr:colOff>123825</xdr:colOff>
      <xdr:row>17</xdr:row>
      <xdr:rowOff>38100</xdr:rowOff>
    </xdr:from>
    <xdr:to>
      <xdr:col>13</xdr:col>
      <xdr:colOff>180975</xdr:colOff>
      <xdr:row>18</xdr:row>
      <xdr:rowOff>114300</xdr:rowOff>
    </xdr:to>
    <xdr:grpSp>
      <xdr:nvGrpSpPr>
        <xdr:cNvPr id="1048" name="Group 30"/>
        <xdr:cNvGrpSpPr>
          <a:grpSpLocks/>
        </xdr:cNvGrpSpPr>
      </xdr:nvGrpSpPr>
      <xdr:grpSpPr>
        <a:xfrm>
          <a:off x="2409825" y="2895600"/>
          <a:ext cx="247650" cy="247650"/>
          <a:chOff x="83" y="470"/>
          <a:chExt cx="26" cy="26"/>
        </a:xfrm>
        <a:solidFill>
          <a:srgbClr val="FFFFFF"/>
        </a:solidFill>
      </xdr:grpSpPr>
      <xdr:sp>
        <xdr:nvSpPr>
          <xdr:cNvPr id="1049" name="Oval 31"/>
          <xdr:cNvSpPr>
            <a:spLocks/>
          </xdr:cNvSpPr>
        </xdr:nvSpPr>
        <xdr:spPr>
          <a:xfrm>
            <a:off x="87" y="476"/>
            <a:ext cx="18" cy="17"/>
          </a:xfrm>
          <a:prstGeom prst="ellipse">
            <a:avLst/>
          </a:prstGeom>
          <a:solidFill>
            <a:srgbClr val="FFFFFF"/>
          </a:solidFill>
          <a:ln w="9525" cmpd="sng">
            <a:solidFill>
              <a:srgbClr val="000000"/>
            </a:solidFill>
            <a:headEnd type="none"/>
            <a:tailEnd type="none"/>
          </a:ln>
        </xdr:spPr>
        <xdr:txBody>
          <a:bodyPr vertOverflow="clip" wrap="square" anchor="b"/>
          <a:p>
            <a:pPr algn="ctr">
              <a:defRPr/>
            </a:pPr>
            <a:r>
              <a:rPr lang="en-US" cap="none" u="none" baseline="0">
                <a:latin typeface="ＭＳ Ｐゴシック"/>
                <a:ea typeface="ＭＳ Ｐゴシック"/>
                <a:cs typeface="ＭＳ Ｐゴシック"/>
              </a:rPr>
              <a:t/>
            </a:r>
          </a:p>
        </xdr:txBody>
      </xdr:sp>
      <xdr:sp>
        <xdr:nvSpPr>
          <xdr:cNvPr id="1050" name="Oval 32"/>
          <xdr:cNvSpPr>
            <a:spLocks/>
          </xdr:cNvSpPr>
        </xdr:nvSpPr>
        <xdr:spPr>
          <a:xfrm>
            <a:off x="83" y="470"/>
            <a:ext cx="26" cy="26"/>
          </a:xfrm>
          <a:prstGeom prst="ellipse">
            <a:avLst/>
          </a:prstGeom>
          <a:noFill/>
          <a:ln w="9525" cmpd="sng">
            <a:noFill/>
          </a:ln>
        </xdr:spPr>
        <xdr:txBody>
          <a:bodyPr vertOverflow="clip" wrap="square" anchor="b"/>
          <a:p>
            <a:pPr algn="ctr">
              <a:defRPr/>
            </a:pPr>
            <a:r>
              <a:rPr lang="en-US" cap="none" sz="900" b="0" i="0" u="none" baseline="0">
                <a:latin typeface="ＭＳ Ｐゴシック"/>
                <a:ea typeface="ＭＳ Ｐゴシック"/>
                <a:cs typeface="ＭＳ Ｐゴシック"/>
              </a:rPr>
              <a:t>南</a:t>
            </a:r>
          </a:p>
        </xdr:txBody>
      </xdr:sp>
    </xdr:grpSp>
    <xdr:clientData/>
  </xdr:twoCellAnchor>
  <xdr:twoCellAnchor editAs="absolute">
    <xdr:from>
      <xdr:col>26</xdr:col>
      <xdr:colOff>104775</xdr:colOff>
      <xdr:row>31</xdr:row>
      <xdr:rowOff>28575</xdr:rowOff>
    </xdr:from>
    <xdr:to>
      <xdr:col>27</xdr:col>
      <xdr:colOff>161925</xdr:colOff>
      <xdr:row>32</xdr:row>
      <xdr:rowOff>114300</xdr:rowOff>
    </xdr:to>
    <xdr:grpSp>
      <xdr:nvGrpSpPr>
        <xdr:cNvPr id="1051" name="Group 33"/>
        <xdr:cNvGrpSpPr>
          <a:grpSpLocks/>
        </xdr:cNvGrpSpPr>
      </xdr:nvGrpSpPr>
      <xdr:grpSpPr>
        <a:xfrm>
          <a:off x="5057775" y="5276850"/>
          <a:ext cx="247650" cy="247650"/>
          <a:chOff x="83" y="470"/>
          <a:chExt cx="26" cy="26"/>
        </a:xfrm>
        <a:solidFill>
          <a:srgbClr val="FFFFFF"/>
        </a:solidFill>
      </xdr:grpSpPr>
      <xdr:sp>
        <xdr:nvSpPr>
          <xdr:cNvPr id="1052" name="Oval 34"/>
          <xdr:cNvSpPr>
            <a:spLocks/>
          </xdr:cNvSpPr>
        </xdr:nvSpPr>
        <xdr:spPr>
          <a:xfrm>
            <a:off x="87" y="476"/>
            <a:ext cx="18" cy="17"/>
          </a:xfrm>
          <a:prstGeom prst="ellipse">
            <a:avLst/>
          </a:prstGeom>
          <a:solidFill>
            <a:srgbClr val="FFFFFF"/>
          </a:solidFill>
          <a:ln w="9525" cmpd="sng">
            <a:solidFill>
              <a:srgbClr val="000000"/>
            </a:solidFill>
            <a:headEnd type="none"/>
            <a:tailEnd type="none"/>
          </a:ln>
        </xdr:spPr>
        <xdr:txBody>
          <a:bodyPr vertOverflow="clip" wrap="square" anchor="b"/>
          <a:p>
            <a:pPr algn="ctr">
              <a:defRPr/>
            </a:pPr>
            <a:r>
              <a:rPr lang="en-US" cap="none" u="none" baseline="0">
                <a:latin typeface="ＭＳ Ｐゴシック"/>
                <a:ea typeface="ＭＳ Ｐゴシック"/>
                <a:cs typeface="ＭＳ Ｐゴシック"/>
              </a:rPr>
              <a:t/>
            </a:r>
          </a:p>
        </xdr:txBody>
      </xdr:sp>
      <xdr:sp>
        <xdr:nvSpPr>
          <xdr:cNvPr id="1053" name="Oval 35"/>
          <xdr:cNvSpPr>
            <a:spLocks/>
          </xdr:cNvSpPr>
        </xdr:nvSpPr>
        <xdr:spPr>
          <a:xfrm>
            <a:off x="83" y="470"/>
            <a:ext cx="26" cy="26"/>
          </a:xfrm>
          <a:prstGeom prst="ellipse">
            <a:avLst/>
          </a:prstGeom>
          <a:noFill/>
          <a:ln w="9525" cmpd="sng">
            <a:noFill/>
          </a:ln>
        </xdr:spPr>
        <xdr:txBody>
          <a:bodyPr vertOverflow="clip" wrap="square" anchor="b"/>
          <a:p>
            <a:pPr algn="ctr">
              <a:defRPr/>
            </a:pPr>
            <a:r>
              <a:rPr lang="en-US" cap="none" sz="900" b="0" i="0" u="none" baseline="0">
                <a:latin typeface="ＭＳ Ｐゴシック"/>
                <a:ea typeface="ＭＳ Ｐゴシック"/>
                <a:cs typeface="ＭＳ Ｐゴシック"/>
              </a:rPr>
              <a:t>南</a:t>
            </a:r>
          </a:p>
        </xdr:txBody>
      </xdr:sp>
    </xdr:grpSp>
    <xdr:clientData/>
  </xdr:twoCellAnchor>
  <xdr:twoCellAnchor editAs="absolute">
    <xdr:from>
      <xdr:col>12</xdr:col>
      <xdr:colOff>28575</xdr:colOff>
      <xdr:row>12</xdr:row>
      <xdr:rowOff>133350</xdr:rowOff>
    </xdr:from>
    <xdr:to>
      <xdr:col>13</xdr:col>
      <xdr:colOff>85725</xdr:colOff>
      <xdr:row>14</xdr:row>
      <xdr:rowOff>38100</xdr:rowOff>
    </xdr:to>
    <xdr:grpSp>
      <xdr:nvGrpSpPr>
        <xdr:cNvPr id="1054" name="Group 36"/>
        <xdr:cNvGrpSpPr>
          <a:grpSpLocks/>
        </xdr:cNvGrpSpPr>
      </xdr:nvGrpSpPr>
      <xdr:grpSpPr>
        <a:xfrm>
          <a:off x="2314575" y="2133600"/>
          <a:ext cx="247650" cy="247650"/>
          <a:chOff x="101" y="458"/>
          <a:chExt cx="26" cy="26"/>
        </a:xfrm>
        <a:solidFill>
          <a:srgbClr val="FFFFFF"/>
        </a:solidFill>
      </xdr:grpSpPr>
      <xdr:sp>
        <xdr:nvSpPr>
          <xdr:cNvPr id="1055" name="Oval 37"/>
          <xdr:cNvSpPr>
            <a:spLocks/>
          </xdr:cNvSpPr>
        </xdr:nvSpPr>
        <xdr:spPr>
          <a:xfrm>
            <a:off x="105" y="464"/>
            <a:ext cx="18" cy="17"/>
          </a:xfrm>
          <a:prstGeom prst="ellipse">
            <a:avLst/>
          </a:prstGeom>
          <a:solidFill>
            <a:srgbClr val="FFFFFF"/>
          </a:solidFill>
          <a:ln w="9525" cmpd="sng">
            <a:solidFill>
              <a:srgbClr val="000000"/>
            </a:solidFill>
            <a:headEnd type="none"/>
            <a:tailEnd type="none"/>
          </a:ln>
        </xdr:spPr>
        <xdr:txBody>
          <a:bodyPr vertOverflow="clip" wrap="square" anchor="b"/>
          <a:p>
            <a:pPr algn="ctr">
              <a:defRPr/>
            </a:pPr>
            <a:r>
              <a:rPr lang="en-US" cap="none" u="none" baseline="0">
                <a:latin typeface="ＭＳ Ｐゴシック"/>
                <a:ea typeface="ＭＳ Ｐゴシック"/>
                <a:cs typeface="ＭＳ Ｐゴシック"/>
              </a:rPr>
              <a:t/>
            </a:r>
          </a:p>
        </xdr:txBody>
      </xdr:sp>
      <xdr:sp>
        <xdr:nvSpPr>
          <xdr:cNvPr id="1056" name="Oval 38"/>
          <xdr:cNvSpPr>
            <a:spLocks/>
          </xdr:cNvSpPr>
        </xdr:nvSpPr>
        <xdr:spPr>
          <a:xfrm>
            <a:off x="101" y="458"/>
            <a:ext cx="26" cy="26"/>
          </a:xfrm>
          <a:prstGeom prst="ellipse">
            <a:avLst/>
          </a:prstGeom>
          <a:noFill/>
          <a:ln w="9525" cmpd="sng">
            <a:noFill/>
          </a:ln>
        </xdr:spPr>
        <xdr:txBody>
          <a:bodyPr vertOverflow="clip" wrap="square" anchor="b"/>
          <a:p>
            <a:pPr algn="ctr">
              <a:defRPr/>
            </a:pPr>
            <a:r>
              <a:rPr lang="en-US" cap="none" sz="900" b="0" i="0" u="none" baseline="0">
                <a:latin typeface="ＭＳ Ｐゴシック"/>
                <a:ea typeface="ＭＳ Ｐゴシック"/>
                <a:cs typeface="ＭＳ Ｐゴシック"/>
              </a:rPr>
              <a:t>近</a:t>
            </a:r>
          </a:p>
        </xdr:txBody>
      </xdr:sp>
    </xdr:grpSp>
    <xdr:clientData/>
  </xdr:twoCellAnchor>
  <xdr:twoCellAnchor editAs="absolute">
    <xdr:from>
      <xdr:col>13</xdr:col>
      <xdr:colOff>123825</xdr:colOff>
      <xdr:row>15</xdr:row>
      <xdr:rowOff>28575</xdr:rowOff>
    </xdr:from>
    <xdr:to>
      <xdr:col>14</xdr:col>
      <xdr:colOff>180975</xdr:colOff>
      <xdr:row>16</xdr:row>
      <xdr:rowOff>104775</xdr:rowOff>
    </xdr:to>
    <xdr:grpSp>
      <xdr:nvGrpSpPr>
        <xdr:cNvPr id="1057" name="Group 39"/>
        <xdr:cNvGrpSpPr>
          <a:grpSpLocks/>
        </xdr:cNvGrpSpPr>
      </xdr:nvGrpSpPr>
      <xdr:grpSpPr>
        <a:xfrm>
          <a:off x="2600325" y="2543175"/>
          <a:ext cx="247650" cy="247650"/>
          <a:chOff x="101" y="458"/>
          <a:chExt cx="26" cy="26"/>
        </a:xfrm>
        <a:solidFill>
          <a:srgbClr val="FFFFFF"/>
        </a:solidFill>
      </xdr:grpSpPr>
      <xdr:sp>
        <xdr:nvSpPr>
          <xdr:cNvPr id="1058" name="Oval 40"/>
          <xdr:cNvSpPr>
            <a:spLocks/>
          </xdr:cNvSpPr>
        </xdr:nvSpPr>
        <xdr:spPr>
          <a:xfrm>
            <a:off x="105" y="464"/>
            <a:ext cx="18" cy="17"/>
          </a:xfrm>
          <a:prstGeom prst="ellipse">
            <a:avLst/>
          </a:prstGeom>
          <a:solidFill>
            <a:srgbClr val="FFFFFF"/>
          </a:solidFill>
          <a:ln w="9525" cmpd="sng">
            <a:solidFill>
              <a:srgbClr val="000000"/>
            </a:solidFill>
            <a:headEnd type="none"/>
            <a:tailEnd type="none"/>
          </a:ln>
        </xdr:spPr>
        <xdr:txBody>
          <a:bodyPr vertOverflow="clip" wrap="square" anchor="b"/>
          <a:p>
            <a:pPr algn="ctr">
              <a:defRPr/>
            </a:pPr>
            <a:r>
              <a:rPr lang="en-US" cap="none" u="none" baseline="0">
                <a:latin typeface="ＭＳ Ｐゴシック"/>
                <a:ea typeface="ＭＳ Ｐゴシック"/>
                <a:cs typeface="ＭＳ Ｐゴシック"/>
              </a:rPr>
              <a:t/>
            </a:r>
          </a:p>
        </xdr:txBody>
      </xdr:sp>
      <xdr:sp>
        <xdr:nvSpPr>
          <xdr:cNvPr id="1059" name="Oval 41"/>
          <xdr:cNvSpPr>
            <a:spLocks/>
          </xdr:cNvSpPr>
        </xdr:nvSpPr>
        <xdr:spPr>
          <a:xfrm>
            <a:off x="101" y="458"/>
            <a:ext cx="26" cy="26"/>
          </a:xfrm>
          <a:prstGeom prst="ellipse">
            <a:avLst/>
          </a:prstGeom>
          <a:noFill/>
          <a:ln w="9525" cmpd="sng">
            <a:noFill/>
          </a:ln>
        </xdr:spPr>
        <xdr:txBody>
          <a:bodyPr vertOverflow="clip" wrap="square" anchor="b"/>
          <a:p>
            <a:pPr algn="ctr">
              <a:defRPr/>
            </a:pPr>
            <a:r>
              <a:rPr lang="en-US" cap="none" sz="900" b="0" i="0" u="none" baseline="0">
                <a:latin typeface="ＭＳ Ｐゴシック"/>
                <a:ea typeface="ＭＳ Ｐゴシック"/>
                <a:cs typeface="ＭＳ Ｐゴシック"/>
              </a:rPr>
              <a:t>近</a:t>
            </a:r>
          </a:p>
        </xdr:txBody>
      </xdr:sp>
    </xdr:grpSp>
    <xdr:clientData/>
  </xdr:twoCellAnchor>
  <xdr:twoCellAnchor editAs="absolute">
    <xdr:from>
      <xdr:col>17</xdr:col>
      <xdr:colOff>28575</xdr:colOff>
      <xdr:row>3</xdr:row>
      <xdr:rowOff>95250</xdr:rowOff>
    </xdr:from>
    <xdr:to>
      <xdr:col>18</xdr:col>
      <xdr:colOff>85725</xdr:colOff>
      <xdr:row>5</xdr:row>
      <xdr:rowOff>0</xdr:rowOff>
    </xdr:to>
    <xdr:grpSp>
      <xdr:nvGrpSpPr>
        <xdr:cNvPr id="1060" name="Group 42"/>
        <xdr:cNvGrpSpPr>
          <a:grpSpLocks/>
        </xdr:cNvGrpSpPr>
      </xdr:nvGrpSpPr>
      <xdr:grpSpPr>
        <a:xfrm>
          <a:off x="3267075" y="552450"/>
          <a:ext cx="247650" cy="247650"/>
          <a:chOff x="101" y="458"/>
          <a:chExt cx="26" cy="26"/>
        </a:xfrm>
        <a:solidFill>
          <a:srgbClr val="FFFFFF"/>
        </a:solidFill>
      </xdr:grpSpPr>
      <xdr:sp>
        <xdr:nvSpPr>
          <xdr:cNvPr id="1061" name="Oval 43"/>
          <xdr:cNvSpPr>
            <a:spLocks/>
          </xdr:cNvSpPr>
        </xdr:nvSpPr>
        <xdr:spPr>
          <a:xfrm>
            <a:off x="105" y="464"/>
            <a:ext cx="18" cy="17"/>
          </a:xfrm>
          <a:prstGeom prst="ellipse">
            <a:avLst/>
          </a:prstGeom>
          <a:solidFill>
            <a:srgbClr val="FFFFFF"/>
          </a:solidFill>
          <a:ln w="9525" cmpd="sng">
            <a:solidFill>
              <a:srgbClr val="000000"/>
            </a:solidFill>
            <a:headEnd type="none"/>
            <a:tailEnd type="none"/>
          </a:ln>
        </xdr:spPr>
        <xdr:txBody>
          <a:bodyPr vertOverflow="clip" wrap="square" anchor="b"/>
          <a:p>
            <a:pPr algn="ctr">
              <a:defRPr/>
            </a:pPr>
            <a:r>
              <a:rPr lang="en-US" cap="none" u="none" baseline="0">
                <a:latin typeface="ＭＳ Ｐゴシック"/>
                <a:ea typeface="ＭＳ Ｐゴシック"/>
                <a:cs typeface="ＭＳ Ｐゴシック"/>
              </a:rPr>
              <a:t/>
            </a:r>
          </a:p>
        </xdr:txBody>
      </xdr:sp>
      <xdr:sp>
        <xdr:nvSpPr>
          <xdr:cNvPr id="1062" name="Oval 44"/>
          <xdr:cNvSpPr>
            <a:spLocks/>
          </xdr:cNvSpPr>
        </xdr:nvSpPr>
        <xdr:spPr>
          <a:xfrm>
            <a:off x="101" y="458"/>
            <a:ext cx="26" cy="26"/>
          </a:xfrm>
          <a:prstGeom prst="ellipse">
            <a:avLst/>
          </a:prstGeom>
          <a:noFill/>
          <a:ln w="9525" cmpd="sng">
            <a:noFill/>
          </a:ln>
        </xdr:spPr>
        <xdr:txBody>
          <a:bodyPr vertOverflow="clip" wrap="square" anchor="b"/>
          <a:p>
            <a:pPr algn="ctr">
              <a:defRPr/>
            </a:pPr>
            <a:r>
              <a:rPr lang="en-US" cap="none" sz="900" b="0" i="0" u="none" baseline="0">
                <a:latin typeface="ＭＳ Ｐゴシック"/>
                <a:ea typeface="ＭＳ Ｐゴシック"/>
                <a:cs typeface="ＭＳ Ｐゴシック"/>
              </a:rPr>
              <a:t>近</a:t>
            </a:r>
          </a:p>
        </xdr:txBody>
      </xdr:sp>
    </xdr:grpSp>
    <xdr:clientData/>
  </xdr:twoCellAnchor>
  <xdr:twoCellAnchor editAs="absolute">
    <xdr:from>
      <xdr:col>15</xdr:col>
      <xdr:colOff>57150</xdr:colOff>
      <xdr:row>19</xdr:row>
      <xdr:rowOff>85725</xdr:rowOff>
    </xdr:from>
    <xdr:to>
      <xdr:col>16</xdr:col>
      <xdr:colOff>114300</xdr:colOff>
      <xdr:row>20</xdr:row>
      <xdr:rowOff>161925</xdr:rowOff>
    </xdr:to>
    <xdr:grpSp>
      <xdr:nvGrpSpPr>
        <xdr:cNvPr id="1063" name="Group 45"/>
        <xdr:cNvGrpSpPr>
          <a:grpSpLocks/>
        </xdr:cNvGrpSpPr>
      </xdr:nvGrpSpPr>
      <xdr:grpSpPr>
        <a:xfrm>
          <a:off x="2914650" y="3286125"/>
          <a:ext cx="247650" cy="247650"/>
          <a:chOff x="101" y="458"/>
          <a:chExt cx="26" cy="26"/>
        </a:xfrm>
        <a:solidFill>
          <a:srgbClr val="FFFFFF"/>
        </a:solidFill>
      </xdr:grpSpPr>
      <xdr:sp>
        <xdr:nvSpPr>
          <xdr:cNvPr id="1064" name="Oval 46"/>
          <xdr:cNvSpPr>
            <a:spLocks/>
          </xdr:cNvSpPr>
        </xdr:nvSpPr>
        <xdr:spPr>
          <a:xfrm>
            <a:off x="105" y="464"/>
            <a:ext cx="18" cy="17"/>
          </a:xfrm>
          <a:prstGeom prst="ellipse">
            <a:avLst/>
          </a:prstGeom>
          <a:solidFill>
            <a:srgbClr val="FFFFFF"/>
          </a:solidFill>
          <a:ln w="9525" cmpd="sng">
            <a:solidFill>
              <a:srgbClr val="000000"/>
            </a:solidFill>
            <a:headEnd type="none"/>
            <a:tailEnd type="none"/>
          </a:ln>
        </xdr:spPr>
        <xdr:txBody>
          <a:bodyPr vertOverflow="clip" wrap="square" anchor="b"/>
          <a:p>
            <a:pPr algn="ctr">
              <a:defRPr/>
            </a:pPr>
            <a:r>
              <a:rPr lang="en-US" cap="none" u="none" baseline="0">
                <a:latin typeface="ＭＳ Ｐゴシック"/>
                <a:ea typeface="ＭＳ Ｐゴシック"/>
                <a:cs typeface="ＭＳ Ｐゴシック"/>
              </a:rPr>
              <a:t/>
            </a:r>
          </a:p>
        </xdr:txBody>
      </xdr:sp>
      <xdr:sp>
        <xdr:nvSpPr>
          <xdr:cNvPr id="1065" name="Oval 47"/>
          <xdr:cNvSpPr>
            <a:spLocks/>
          </xdr:cNvSpPr>
        </xdr:nvSpPr>
        <xdr:spPr>
          <a:xfrm>
            <a:off x="101" y="458"/>
            <a:ext cx="26" cy="26"/>
          </a:xfrm>
          <a:prstGeom prst="ellipse">
            <a:avLst/>
          </a:prstGeom>
          <a:noFill/>
          <a:ln w="9525" cmpd="sng">
            <a:noFill/>
          </a:ln>
        </xdr:spPr>
        <xdr:txBody>
          <a:bodyPr vertOverflow="clip" wrap="square" anchor="b"/>
          <a:p>
            <a:pPr algn="ctr">
              <a:defRPr/>
            </a:pPr>
            <a:r>
              <a:rPr lang="en-US" cap="none" sz="900" b="0" i="0" u="none" baseline="0">
                <a:latin typeface="ＭＳ Ｐゴシック"/>
                <a:ea typeface="ＭＳ Ｐゴシック"/>
                <a:cs typeface="ＭＳ Ｐゴシック"/>
              </a:rPr>
              <a:t>近</a:t>
            </a:r>
          </a:p>
        </xdr:txBody>
      </xdr:sp>
    </xdr:grpSp>
    <xdr:clientData/>
  </xdr:twoCellAnchor>
  <xdr:twoCellAnchor editAs="absolute">
    <xdr:from>
      <xdr:col>19</xdr:col>
      <xdr:colOff>76200</xdr:colOff>
      <xdr:row>14</xdr:row>
      <xdr:rowOff>123825</xdr:rowOff>
    </xdr:from>
    <xdr:to>
      <xdr:col>20</xdr:col>
      <xdr:colOff>133350</xdr:colOff>
      <xdr:row>16</xdr:row>
      <xdr:rowOff>28575</xdr:rowOff>
    </xdr:to>
    <xdr:grpSp>
      <xdr:nvGrpSpPr>
        <xdr:cNvPr id="1066" name="Group 48"/>
        <xdr:cNvGrpSpPr>
          <a:grpSpLocks/>
        </xdr:cNvGrpSpPr>
      </xdr:nvGrpSpPr>
      <xdr:grpSpPr>
        <a:xfrm>
          <a:off x="3695700" y="2466975"/>
          <a:ext cx="247650" cy="247650"/>
          <a:chOff x="101" y="458"/>
          <a:chExt cx="26" cy="26"/>
        </a:xfrm>
        <a:solidFill>
          <a:srgbClr val="FFFFFF"/>
        </a:solidFill>
      </xdr:grpSpPr>
      <xdr:sp>
        <xdr:nvSpPr>
          <xdr:cNvPr id="1067" name="Oval 49"/>
          <xdr:cNvSpPr>
            <a:spLocks/>
          </xdr:cNvSpPr>
        </xdr:nvSpPr>
        <xdr:spPr>
          <a:xfrm>
            <a:off x="105" y="464"/>
            <a:ext cx="18" cy="17"/>
          </a:xfrm>
          <a:prstGeom prst="ellipse">
            <a:avLst/>
          </a:prstGeom>
          <a:solidFill>
            <a:srgbClr val="FFFFFF"/>
          </a:solidFill>
          <a:ln w="9525" cmpd="sng">
            <a:solidFill>
              <a:srgbClr val="000000"/>
            </a:solidFill>
            <a:headEnd type="none"/>
            <a:tailEnd type="none"/>
          </a:ln>
        </xdr:spPr>
        <xdr:txBody>
          <a:bodyPr vertOverflow="clip" wrap="square" anchor="b"/>
          <a:p>
            <a:pPr algn="ctr">
              <a:defRPr/>
            </a:pPr>
            <a:r>
              <a:rPr lang="en-US" cap="none" u="none" baseline="0">
                <a:latin typeface="ＭＳ Ｐゴシック"/>
                <a:ea typeface="ＭＳ Ｐゴシック"/>
                <a:cs typeface="ＭＳ Ｐゴシック"/>
              </a:rPr>
              <a:t/>
            </a:r>
          </a:p>
        </xdr:txBody>
      </xdr:sp>
      <xdr:sp>
        <xdr:nvSpPr>
          <xdr:cNvPr id="1068" name="Oval 50"/>
          <xdr:cNvSpPr>
            <a:spLocks/>
          </xdr:cNvSpPr>
        </xdr:nvSpPr>
        <xdr:spPr>
          <a:xfrm>
            <a:off x="101" y="458"/>
            <a:ext cx="26" cy="26"/>
          </a:xfrm>
          <a:prstGeom prst="ellipse">
            <a:avLst/>
          </a:prstGeom>
          <a:noFill/>
          <a:ln w="9525" cmpd="sng">
            <a:noFill/>
          </a:ln>
        </xdr:spPr>
        <xdr:txBody>
          <a:bodyPr vertOverflow="clip" wrap="square" anchor="b"/>
          <a:p>
            <a:pPr algn="ctr">
              <a:defRPr/>
            </a:pPr>
            <a:r>
              <a:rPr lang="en-US" cap="none" sz="900" b="0" i="0" u="none" baseline="0">
                <a:latin typeface="ＭＳ Ｐゴシック"/>
                <a:ea typeface="ＭＳ Ｐゴシック"/>
                <a:cs typeface="ＭＳ Ｐゴシック"/>
              </a:rPr>
              <a:t>近</a:t>
            </a:r>
          </a:p>
        </xdr:txBody>
      </xdr:sp>
    </xdr:grpSp>
    <xdr:clientData/>
  </xdr:twoCellAnchor>
  <xdr:twoCellAnchor editAs="absolute">
    <xdr:from>
      <xdr:col>24</xdr:col>
      <xdr:colOff>28575</xdr:colOff>
      <xdr:row>23</xdr:row>
      <xdr:rowOff>28575</xdr:rowOff>
    </xdr:from>
    <xdr:to>
      <xdr:col>25</xdr:col>
      <xdr:colOff>85725</xdr:colOff>
      <xdr:row>24</xdr:row>
      <xdr:rowOff>104775</xdr:rowOff>
    </xdr:to>
    <xdr:grpSp>
      <xdr:nvGrpSpPr>
        <xdr:cNvPr id="1069" name="Group 51"/>
        <xdr:cNvGrpSpPr>
          <a:grpSpLocks/>
        </xdr:cNvGrpSpPr>
      </xdr:nvGrpSpPr>
      <xdr:grpSpPr>
        <a:xfrm>
          <a:off x="4600575" y="3914775"/>
          <a:ext cx="247650" cy="247650"/>
          <a:chOff x="153" y="457"/>
          <a:chExt cx="26" cy="26"/>
        </a:xfrm>
        <a:solidFill>
          <a:srgbClr val="FFFFFF"/>
        </a:solidFill>
      </xdr:grpSpPr>
      <xdr:sp>
        <xdr:nvSpPr>
          <xdr:cNvPr id="1070" name="Oval 52"/>
          <xdr:cNvSpPr>
            <a:spLocks/>
          </xdr:cNvSpPr>
        </xdr:nvSpPr>
        <xdr:spPr>
          <a:xfrm>
            <a:off x="156" y="463"/>
            <a:ext cx="18" cy="1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71" name="Oval 53"/>
          <xdr:cNvSpPr>
            <a:spLocks/>
          </xdr:cNvSpPr>
        </xdr:nvSpPr>
        <xdr:spPr>
          <a:xfrm>
            <a:off x="153" y="457"/>
            <a:ext cx="26" cy="26"/>
          </a:xfrm>
          <a:prstGeom prst="ellipse">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１</a:t>
            </a:r>
          </a:p>
        </xdr:txBody>
      </xdr:sp>
    </xdr:grpSp>
    <xdr:clientData/>
  </xdr:twoCellAnchor>
  <xdr:twoCellAnchor editAs="absolute">
    <xdr:from>
      <xdr:col>25</xdr:col>
      <xdr:colOff>114300</xdr:colOff>
      <xdr:row>23</xdr:row>
      <xdr:rowOff>114300</xdr:rowOff>
    </xdr:from>
    <xdr:to>
      <xdr:col>26</xdr:col>
      <xdr:colOff>171450</xdr:colOff>
      <xdr:row>25</xdr:row>
      <xdr:rowOff>19050</xdr:rowOff>
    </xdr:to>
    <xdr:grpSp>
      <xdr:nvGrpSpPr>
        <xdr:cNvPr id="1072" name="Group 54"/>
        <xdr:cNvGrpSpPr>
          <a:grpSpLocks/>
        </xdr:cNvGrpSpPr>
      </xdr:nvGrpSpPr>
      <xdr:grpSpPr>
        <a:xfrm>
          <a:off x="4876800" y="4000500"/>
          <a:ext cx="247650" cy="247650"/>
          <a:chOff x="116" y="557"/>
          <a:chExt cx="26" cy="26"/>
        </a:xfrm>
        <a:solidFill>
          <a:srgbClr val="FFFFFF"/>
        </a:solidFill>
      </xdr:grpSpPr>
      <xdr:sp>
        <xdr:nvSpPr>
          <xdr:cNvPr id="1073" name="Oval 55"/>
          <xdr:cNvSpPr>
            <a:spLocks/>
          </xdr:cNvSpPr>
        </xdr:nvSpPr>
        <xdr:spPr>
          <a:xfrm>
            <a:off x="118" y="563"/>
            <a:ext cx="18" cy="1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74" name="Oval 56"/>
          <xdr:cNvSpPr>
            <a:spLocks/>
          </xdr:cNvSpPr>
        </xdr:nvSpPr>
        <xdr:spPr>
          <a:xfrm>
            <a:off x="116" y="557"/>
            <a:ext cx="26" cy="26"/>
          </a:xfrm>
          <a:prstGeom prst="ellipse">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４</a:t>
            </a:r>
          </a:p>
        </xdr:txBody>
      </xdr:sp>
    </xdr:grpSp>
    <xdr:clientData/>
  </xdr:twoCellAnchor>
  <xdr:twoCellAnchor editAs="absolute">
    <xdr:from>
      <xdr:col>1</xdr:col>
      <xdr:colOff>123825</xdr:colOff>
      <xdr:row>31</xdr:row>
      <xdr:rowOff>76200</xdr:rowOff>
    </xdr:from>
    <xdr:to>
      <xdr:col>2</xdr:col>
      <xdr:colOff>180975</xdr:colOff>
      <xdr:row>32</xdr:row>
      <xdr:rowOff>161925</xdr:rowOff>
    </xdr:to>
    <xdr:grpSp>
      <xdr:nvGrpSpPr>
        <xdr:cNvPr id="1075" name="Group 57"/>
        <xdr:cNvGrpSpPr>
          <a:grpSpLocks/>
        </xdr:cNvGrpSpPr>
      </xdr:nvGrpSpPr>
      <xdr:grpSpPr>
        <a:xfrm>
          <a:off x="314325" y="5324475"/>
          <a:ext cx="247650" cy="247650"/>
          <a:chOff x="169" y="473"/>
          <a:chExt cx="26" cy="26"/>
        </a:xfrm>
        <a:solidFill>
          <a:srgbClr val="FFFFFF"/>
        </a:solidFill>
      </xdr:grpSpPr>
      <xdr:sp>
        <xdr:nvSpPr>
          <xdr:cNvPr id="1076" name="Oval 58"/>
          <xdr:cNvSpPr>
            <a:spLocks/>
          </xdr:cNvSpPr>
        </xdr:nvSpPr>
        <xdr:spPr>
          <a:xfrm>
            <a:off x="171" y="479"/>
            <a:ext cx="18" cy="1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77" name="Oval 59"/>
          <xdr:cNvSpPr>
            <a:spLocks/>
          </xdr:cNvSpPr>
        </xdr:nvSpPr>
        <xdr:spPr>
          <a:xfrm>
            <a:off x="169" y="473"/>
            <a:ext cx="26" cy="26"/>
          </a:xfrm>
          <a:prstGeom prst="ellipse">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２</a:t>
            </a:r>
          </a:p>
        </xdr:txBody>
      </xdr:sp>
    </xdr:grpSp>
    <xdr:clientData/>
  </xdr:twoCellAnchor>
  <xdr:twoCellAnchor editAs="absolute">
    <xdr:from>
      <xdr:col>26</xdr:col>
      <xdr:colOff>47625</xdr:colOff>
      <xdr:row>22</xdr:row>
      <xdr:rowOff>66675</xdr:rowOff>
    </xdr:from>
    <xdr:to>
      <xdr:col>27</xdr:col>
      <xdr:colOff>104775</xdr:colOff>
      <xdr:row>23</xdr:row>
      <xdr:rowOff>142875</xdr:rowOff>
    </xdr:to>
    <xdr:grpSp>
      <xdr:nvGrpSpPr>
        <xdr:cNvPr id="1078" name="Group 60"/>
        <xdr:cNvGrpSpPr>
          <a:grpSpLocks/>
        </xdr:cNvGrpSpPr>
      </xdr:nvGrpSpPr>
      <xdr:grpSpPr>
        <a:xfrm>
          <a:off x="5000625" y="3781425"/>
          <a:ext cx="247650" cy="247650"/>
          <a:chOff x="116" y="557"/>
          <a:chExt cx="26" cy="26"/>
        </a:xfrm>
        <a:solidFill>
          <a:srgbClr val="FFFFFF"/>
        </a:solidFill>
      </xdr:grpSpPr>
      <xdr:sp>
        <xdr:nvSpPr>
          <xdr:cNvPr id="1079" name="Oval 61"/>
          <xdr:cNvSpPr>
            <a:spLocks/>
          </xdr:cNvSpPr>
        </xdr:nvSpPr>
        <xdr:spPr>
          <a:xfrm>
            <a:off x="118" y="563"/>
            <a:ext cx="18" cy="1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0" name="Oval 62"/>
          <xdr:cNvSpPr>
            <a:spLocks/>
          </xdr:cNvSpPr>
        </xdr:nvSpPr>
        <xdr:spPr>
          <a:xfrm>
            <a:off x="116" y="557"/>
            <a:ext cx="26" cy="26"/>
          </a:xfrm>
          <a:prstGeom prst="ellipse">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４</a:t>
            </a:r>
          </a:p>
        </xdr:txBody>
      </xdr:sp>
    </xdr:grpSp>
    <xdr:clientData/>
  </xdr:twoCellAnchor>
  <xdr:twoCellAnchor editAs="absolute">
    <xdr:from>
      <xdr:col>5</xdr:col>
      <xdr:colOff>9525</xdr:colOff>
      <xdr:row>11</xdr:row>
      <xdr:rowOff>57150</xdr:rowOff>
    </xdr:from>
    <xdr:to>
      <xdr:col>6</xdr:col>
      <xdr:colOff>66675</xdr:colOff>
      <xdr:row>12</xdr:row>
      <xdr:rowOff>133350</xdr:rowOff>
    </xdr:to>
    <xdr:grpSp>
      <xdr:nvGrpSpPr>
        <xdr:cNvPr id="1081" name="Group 63"/>
        <xdr:cNvGrpSpPr>
          <a:grpSpLocks/>
        </xdr:cNvGrpSpPr>
      </xdr:nvGrpSpPr>
      <xdr:grpSpPr>
        <a:xfrm>
          <a:off x="962025" y="1885950"/>
          <a:ext cx="247650" cy="247650"/>
          <a:chOff x="153" y="529"/>
          <a:chExt cx="26" cy="26"/>
        </a:xfrm>
        <a:solidFill>
          <a:srgbClr val="FFFFFF"/>
        </a:solidFill>
      </xdr:grpSpPr>
      <xdr:sp>
        <xdr:nvSpPr>
          <xdr:cNvPr id="1082" name="Oval 64"/>
          <xdr:cNvSpPr>
            <a:spLocks/>
          </xdr:cNvSpPr>
        </xdr:nvSpPr>
        <xdr:spPr>
          <a:xfrm>
            <a:off x="155" y="535"/>
            <a:ext cx="18" cy="17"/>
          </a:xfrm>
          <a:prstGeom prst="ellipse">
            <a:avLst/>
          </a:prstGeom>
          <a:solidFill>
            <a:srgbClr val="FFFFFF"/>
          </a:solidFill>
          <a:ln w="9525" cmpd="sng">
            <a:solidFill>
              <a:srgbClr val="000000"/>
            </a:solidFill>
            <a:headEnd type="none"/>
            <a:tailEnd type="none"/>
          </a:ln>
        </xdr:spPr>
        <xdr:txBody>
          <a:bodyPr vertOverflow="clip" wrap="square" anchor="b"/>
          <a:p>
            <a:pPr algn="ctr">
              <a:defRPr/>
            </a:pPr>
            <a:r>
              <a:rPr lang="en-US" cap="none" u="none" baseline="0">
                <a:latin typeface="ＭＳ Ｐゴシック"/>
                <a:ea typeface="ＭＳ Ｐゴシック"/>
                <a:cs typeface="ＭＳ Ｐゴシック"/>
              </a:rPr>
              <a:t/>
            </a:r>
          </a:p>
        </xdr:txBody>
      </xdr:sp>
      <xdr:sp>
        <xdr:nvSpPr>
          <xdr:cNvPr id="1083" name="Oval 65"/>
          <xdr:cNvSpPr>
            <a:spLocks/>
          </xdr:cNvSpPr>
        </xdr:nvSpPr>
        <xdr:spPr>
          <a:xfrm>
            <a:off x="153" y="529"/>
            <a:ext cx="26" cy="26"/>
          </a:xfrm>
          <a:prstGeom prst="ellipse">
            <a:avLst/>
          </a:prstGeom>
          <a:noFill/>
          <a:ln w="9525" cmpd="sng">
            <a:noFill/>
          </a:ln>
        </xdr:spPr>
        <xdr:txBody>
          <a:bodyPr vertOverflow="clip" wrap="square" anchor="b"/>
          <a:p>
            <a:pPr algn="ctr">
              <a:defRPr/>
            </a:pPr>
            <a:r>
              <a:rPr lang="en-US" cap="none" sz="900" b="0" i="0" u="none" baseline="0">
                <a:latin typeface="ＭＳ Ｐゴシック"/>
                <a:ea typeface="ＭＳ Ｐゴシック"/>
                <a:cs typeface="ＭＳ Ｐゴシック"/>
              </a:rPr>
              <a:t>６</a:t>
            </a:r>
          </a:p>
        </xdr:txBody>
      </xdr:sp>
    </xdr:grpSp>
    <xdr:clientData/>
  </xdr:twoCellAnchor>
  <xdr:twoCellAnchor editAs="absolute">
    <xdr:from>
      <xdr:col>5</xdr:col>
      <xdr:colOff>76200</xdr:colOff>
      <xdr:row>7</xdr:row>
      <xdr:rowOff>28575</xdr:rowOff>
    </xdr:from>
    <xdr:to>
      <xdr:col>6</xdr:col>
      <xdr:colOff>133350</xdr:colOff>
      <xdr:row>8</xdr:row>
      <xdr:rowOff>104775</xdr:rowOff>
    </xdr:to>
    <xdr:grpSp>
      <xdr:nvGrpSpPr>
        <xdr:cNvPr id="1084" name="Group 66"/>
        <xdr:cNvGrpSpPr>
          <a:grpSpLocks/>
        </xdr:cNvGrpSpPr>
      </xdr:nvGrpSpPr>
      <xdr:grpSpPr>
        <a:xfrm>
          <a:off x="1028700" y="1171575"/>
          <a:ext cx="247650" cy="247650"/>
          <a:chOff x="194" y="522"/>
          <a:chExt cx="26" cy="26"/>
        </a:xfrm>
        <a:solidFill>
          <a:srgbClr val="FFFFFF"/>
        </a:solidFill>
      </xdr:grpSpPr>
      <xdr:sp>
        <xdr:nvSpPr>
          <xdr:cNvPr id="1085" name="Oval 67"/>
          <xdr:cNvSpPr>
            <a:spLocks/>
          </xdr:cNvSpPr>
        </xdr:nvSpPr>
        <xdr:spPr>
          <a:xfrm>
            <a:off x="196" y="528"/>
            <a:ext cx="18" cy="1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6" name="Oval 68"/>
          <xdr:cNvSpPr>
            <a:spLocks/>
          </xdr:cNvSpPr>
        </xdr:nvSpPr>
        <xdr:spPr>
          <a:xfrm>
            <a:off x="194" y="522"/>
            <a:ext cx="26" cy="26"/>
          </a:xfrm>
          <a:prstGeom prst="ellipse">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５</a:t>
            </a:r>
          </a:p>
        </xdr:txBody>
      </xdr:sp>
    </xdr:grpSp>
    <xdr:clientData/>
  </xdr:twoCellAnchor>
  <xdr:twoCellAnchor editAs="absolute">
    <xdr:from>
      <xdr:col>43</xdr:col>
      <xdr:colOff>152400</xdr:colOff>
      <xdr:row>31</xdr:row>
      <xdr:rowOff>38100</xdr:rowOff>
    </xdr:from>
    <xdr:to>
      <xdr:col>46</xdr:col>
      <xdr:colOff>161925</xdr:colOff>
      <xdr:row>34</xdr:row>
      <xdr:rowOff>28575</xdr:rowOff>
    </xdr:to>
    <xdr:grpSp>
      <xdr:nvGrpSpPr>
        <xdr:cNvPr id="1087" name="Group 69"/>
        <xdr:cNvGrpSpPr>
          <a:grpSpLocks/>
        </xdr:cNvGrpSpPr>
      </xdr:nvGrpSpPr>
      <xdr:grpSpPr>
        <a:xfrm rot="7200000">
          <a:off x="8343900" y="5286375"/>
          <a:ext cx="581025" cy="485775"/>
          <a:chOff x="690" y="745"/>
          <a:chExt cx="51" cy="61"/>
        </a:xfrm>
        <a:solidFill>
          <a:srgbClr val="FFFFFF"/>
        </a:solidFill>
      </xdr:grpSpPr>
      <xdr:sp>
        <xdr:nvSpPr>
          <xdr:cNvPr id="1088" name="AutoShape 70"/>
          <xdr:cNvSpPr>
            <a:spLocks/>
          </xdr:cNvSpPr>
        </xdr:nvSpPr>
        <xdr:spPr>
          <a:xfrm flipH="1">
            <a:off x="690" y="753"/>
            <a:ext cx="47" cy="40"/>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9" name="Arc 71"/>
          <xdr:cNvSpPr>
            <a:spLocks/>
          </xdr:cNvSpPr>
        </xdr:nvSpPr>
        <xdr:spPr>
          <a:xfrm rot="1800000" flipH="1" flipV="1">
            <a:off x="710" y="745"/>
            <a:ext cx="31" cy="33"/>
          </a:xfrm>
          <a:prstGeom prst="arc">
            <a:avLst>
              <a:gd name="adj1" fmla="val -27506819"/>
              <a:gd name="adj2" fmla="val -8588819"/>
              <a:gd name="adj3" fmla="val -49134"/>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0" name="Arc 72"/>
          <xdr:cNvSpPr>
            <a:spLocks/>
          </xdr:cNvSpPr>
        </xdr:nvSpPr>
        <xdr:spPr>
          <a:xfrm rot="9000000">
            <a:off x="715" y="750"/>
            <a:ext cx="11" cy="18"/>
          </a:xfrm>
          <a:prstGeom prst="arc">
            <a:avLst>
              <a:gd name="adj1" fmla="val -27356671"/>
              <a:gd name="adj2" fmla="val 8748500"/>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1" name="Arc 73"/>
          <xdr:cNvSpPr>
            <a:spLocks/>
          </xdr:cNvSpPr>
        </xdr:nvSpPr>
        <xdr:spPr>
          <a:xfrm rot="9000000" flipH="1" flipV="1">
            <a:off x="703" y="773"/>
            <a:ext cx="30" cy="33"/>
          </a:xfrm>
          <a:prstGeom prst="arc">
            <a:avLst>
              <a:gd name="adj1" fmla="val -27506819"/>
              <a:gd name="adj2" fmla="val -8588819"/>
              <a:gd name="adj3" fmla="val -49134"/>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2" name="Rectangle 74"/>
          <xdr:cNvSpPr>
            <a:spLocks/>
          </xdr:cNvSpPr>
        </xdr:nvSpPr>
        <xdr:spPr>
          <a:xfrm rot="9000000" flipH="1">
            <a:off x="712" y="768"/>
            <a:ext cx="10" cy="6"/>
          </a:xfrm>
          <a:prstGeom prst="rect">
            <a:avLst/>
          </a:prstGeom>
          <a:solidFill>
            <a:srgbClr val="FF66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3" name="Line 75"/>
          <xdr:cNvSpPr>
            <a:spLocks/>
          </xdr:cNvSpPr>
        </xdr:nvSpPr>
        <xdr:spPr>
          <a:xfrm rot="16200000">
            <a:off x="696" y="763"/>
            <a:ext cx="35" cy="2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4" name="Oval 76"/>
          <xdr:cNvSpPr>
            <a:spLocks/>
          </xdr:cNvSpPr>
        </xdr:nvSpPr>
        <xdr:spPr>
          <a:xfrm>
            <a:off x="698" y="779"/>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45</a:t>
            </a:r>
          </a:p>
        </xdr:txBody>
      </xdr:sp>
    </xdr:grpSp>
    <xdr:clientData/>
  </xdr:twoCellAnchor>
  <xdr:twoCellAnchor editAs="absolute">
    <xdr:from>
      <xdr:col>33</xdr:col>
      <xdr:colOff>85725</xdr:colOff>
      <xdr:row>31</xdr:row>
      <xdr:rowOff>38100</xdr:rowOff>
    </xdr:from>
    <xdr:to>
      <xdr:col>36</xdr:col>
      <xdr:colOff>28575</xdr:colOff>
      <xdr:row>34</xdr:row>
      <xdr:rowOff>76200</xdr:rowOff>
    </xdr:to>
    <xdr:grpSp>
      <xdr:nvGrpSpPr>
        <xdr:cNvPr id="1095" name="Group 77"/>
        <xdr:cNvGrpSpPr>
          <a:grpSpLocks/>
        </xdr:cNvGrpSpPr>
      </xdr:nvGrpSpPr>
      <xdr:grpSpPr>
        <a:xfrm>
          <a:off x="6372225" y="5286375"/>
          <a:ext cx="514350" cy="533400"/>
          <a:chOff x="880" y="805"/>
          <a:chExt cx="54" cy="56"/>
        </a:xfrm>
        <a:solidFill>
          <a:srgbClr val="FFFFFF"/>
        </a:solidFill>
      </xdr:grpSpPr>
      <xdr:sp>
        <xdr:nvSpPr>
          <xdr:cNvPr id="1096" name="AutoShape 78"/>
          <xdr:cNvSpPr>
            <a:spLocks/>
          </xdr:cNvSpPr>
        </xdr:nvSpPr>
        <xdr:spPr>
          <a:xfrm rot="14400000">
            <a:off x="880" y="805"/>
            <a:ext cx="40" cy="47"/>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7" name="Arc 79"/>
          <xdr:cNvSpPr>
            <a:spLocks/>
          </xdr:cNvSpPr>
        </xdr:nvSpPr>
        <xdr:spPr>
          <a:xfrm rot="12600000" flipV="1">
            <a:off x="881" y="828"/>
            <a:ext cx="31" cy="33"/>
          </a:xfrm>
          <a:prstGeom prst="arc">
            <a:avLst>
              <a:gd name="adj1" fmla="val -27506819"/>
              <a:gd name="adj2" fmla="val -8588819"/>
              <a:gd name="adj3" fmla="val -49134"/>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8" name="Arc 80"/>
          <xdr:cNvSpPr>
            <a:spLocks/>
          </xdr:cNvSpPr>
        </xdr:nvSpPr>
        <xdr:spPr>
          <a:xfrm rot="5400000" flipH="1">
            <a:off x="885" y="833"/>
            <a:ext cx="11" cy="18"/>
          </a:xfrm>
          <a:prstGeom prst="arc">
            <a:avLst>
              <a:gd name="adj1" fmla="val -27356671"/>
              <a:gd name="adj2" fmla="val 8748500"/>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9" name="Arc 81"/>
          <xdr:cNvSpPr>
            <a:spLocks/>
          </xdr:cNvSpPr>
        </xdr:nvSpPr>
        <xdr:spPr>
          <a:xfrm rot="5400000" flipV="1">
            <a:off x="902" y="808"/>
            <a:ext cx="30" cy="33"/>
          </a:xfrm>
          <a:prstGeom prst="arc">
            <a:avLst>
              <a:gd name="adj1" fmla="val -27506819"/>
              <a:gd name="adj2" fmla="val -8588819"/>
              <a:gd name="adj3" fmla="val -49134"/>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0" name="Rectangle 82"/>
          <xdr:cNvSpPr>
            <a:spLocks/>
          </xdr:cNvSpPr>
        </xdr:nvSpPr>
        <xdr:spPr>
          <a:xfrm rot="5400000">
            <a:off x="895" y="830"/>
            <a:ext cx="10" cy="6"/>
          </a:xfrm>
          <a:prstGeom prst="rect">
            <a:avLst/>
          </a:prstGeom>
          <a:solidFill>
            <a:srgbClr val="FF66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1" name="Line 83"/>
          <xdr:cNvSpPr>
            <a:spLocks/>
          </xdr:cNvSpPr>
        </xdr:nvSpPr>
        <xdr:spPr>
          <a:xfrm rot="-1800000" flipH="1">
            <a:off x="890" y="811"/>
            <a:ext cx="20" cy="3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2" name="Oval 84"/>
          <xdr:cNvSpPr>
            <a:spLocks/>
          </xdr:cNvSpPr>
        </xdr:nvSpPr>
        <xdr:spPr>
          <a:xfrm rot="7200000">
            <a:off x="884" y="807"/>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46</a:t>
            </a:r>
          </a:p>
        </xdr:txBody>
      </xdr:sp>
    </xdr:grpSp>
    <xdr:clientData/>
  </xdr:twoCellAnchor>
  <xdr:twoCellAnchor editAs="absolute">
    <xdr:from>
      <xdr:col>31</xdr:col>
      <xdr:colOff>76200</xdr:colOff>
      <xdr:row>30</xdr:row>
      <xdr:rowOff>114300</xdr:rowOff>
    </xdr:from>
    <xdr:to>
      <xdr:col>34</xdr:col>
      <xdr:colOff>85725</xdr:colOff>
      <xdr:row>33</xdr:row>
      <xdr:rowOff>95250</xdr:rowOff>
    </xdr:to>
    <xdr:grpSp>
      <xdr:nvGrpSpPr>
        <xdr:cNvPr id="1103" name="Group 85"/>
        <xdr:cNvGrpSpPr>
          <a:grpSpLocks/>
        </xdr:cNvGrpSpPr>
      </xdr:nvGrpSpPr>
      <xdr:grpSpPr>
        <a:xfrm rot="7200000">
          <a:off x="5981700" y="5191125"/>
          <a:ext cx="581025" cy="485775"/>
          <a:chOff x="690" y="745"/>
          <a:chExt cx="51" cy="61"/>
        </a:xfrm>
        <a:solidFill>
          <a:srgbClr val="FFFFFF"/>
        </a:solidFill>
      </xdr:grpSpPr>
      <xdr:sp>
        <xdr:nvSpPr>
          <xdr:cNvPr id="1104" name="AutoShape 86"/>
          <xdr:cNvSpPr>
            <a:spLocks/>
          </xdr:cNvSpPr>
        </xdr:nvSpPr>
        <xdr:spPr>
          <a:xfrm flipH="1">
            <a:off x="690" y="753"/>
            <a:ext cx="47" cy="40"/>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5" name="Arc 87"/>
          <xdr:cNvSpPr>
            <a:spLocks/>
          </xdr:cNvSpPr>
        </xdr:nvSpPr>
        <xdr:spPr>
          <a:xfrm rot="1800000" flipH="1" flipV="1">
            <a:off x="710" y="745"/>
            <a:ext cx="31" cy="33"/>
          </a:xfrm>
          <a:prstGeom prst="arc">
            <a:avLst>
              <a:gd name="adj1" fmla="val -27506819"/>
              <a:gd name="adj2" fmla="val -8588819"/>
              <a:gd name="adj3" fmla="val -49134"/>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6" name="Arc 88"/>
          <xdr:cNvSpPr>
            <a:spLocks/>
          </xdr:cNvSpPr>
        </xdr:nvSpPr>
        <xdr:spPr>
          <a:xfrm rot="9000000">
            <a:off x="715" y="750"/>
            <a:ext cx="11" cy="18"/>
          </a:xfrm>
          <a:prstGeom prst="arc">
            <a:avLst>
              <a:gd name="adj1" fmla="val -27356671"/>
              <a:gd name="adj2" fmla="val 8748500"/>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7" name="Arc 89"/>
          <xdr:cNvSpPr>
            <a:spLocks/>
          </xdr:cNvSpPr>
        </xdr:nvSpPr>
        <xdr:spPr>
          <a:xfrm rot="9000000" flipH="1" flipV="1">
            <a:off x="703" y="773"/>
            <a:ext cx="30" cy="33"/>
          </a:xfrm>
          <a:prstGeom prst="arc">
            <a:avLst>
              <a:gd name="adj1" fmla="val -27506819"/>
              <a:gd name="adj2" fmla="val -8588819"/>
              <a:gd name="adj3" fmla="val -49134"/>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8" name="Rectangle 90"/>
          <xdr:cNvSpPr>
            <a:spLocks/>
          </xdr:cNvSpPr>
        </xdr:nvSpPr>
        <xdr:spPr>
          <a:xfrm rot="9000000" flipH="1">
            <a:off x="712" y="768"/>
            <a:ext cx="10" cy="6"/>
          </a:xfrm>
          <a:prstGeom prst="rect">
            <a:avLst/>
          </a:prstGeom>
          <a:solidFill>
            <a:srgbClr val="FF66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9" name="Line 91"/>
          <xdr:cNvSpPr>
            <a:spLocks/>
          </xdr:cNvSpPr>
        </xdr:nvSpPr>
        <xdr:spPr>
          <a:xfrm rot="16200000">
            <a:off x="696" y="763"/>
            <a:ext cx="35" cy="2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0" name="Oval 92"/>
          <xdr:cNvSpPr>
            <a:spLocks/>
          </xdr:cNvSpPr>
        </xdr:nvSpPr>
        <xdr:spPr>
          <a:xfrm>
            <a:off x="698" y="779"/>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45</a:t>
            </a:r>
          </a:p>
        </xdr:txBody>
      </xdr:sp>
    </xdr:grpSp>
    <xdr:clientData/>
  </xdr:twoCellAnchor>
  <xdr:twoCellAnchor editAs="absolute">
    <xdr:from>
      <xdr:col>40</xdr:col>
      <xdr:colOff>28575</xdr:colOff>
      <xdr:row>29</xdr:row>
      <xdr:rowOff>142875</xdr:rowOff>
    </xdr:from>
    <xdr:to>
      <xdr:col>42</xdr:col>
      <xdr:colOff>161925</xdr:colOff>
      <xdr:row>33</xdr:row>
      <xdr:rowOff>9525</xdr:rowOff>
    </xdr:to>
    <xdr:grpSp>
      <xdr:nvGrpSpPr>
        <xdr:cNvPr id="1111" name="Group 93"/>
        <xdr:cNvGrpSpPr>
          <a:grpSpLocks/>
        </xdr:cNvGrpSpPr>
      </xdr:nvGrpSpPr>
      <xdr:grpSpPr>
        <a:xfrm>
          <a:off x="7648575" y="5057775"/>
          <a:ext cx="514350" cy="533400"/>
          <a:chOff x="880" y="805"/>
          <a:chExt cx="54" cy="56"/>
        </a:xfrm>
        <a:solidFill>
          <a:srgbClr val="FFFFFF"/>
        </a:solidFill>
      </xdr:grpSpPr>
      <xdr:sp>
        <xdr:nvSpPr>
          <xdr:cNvPr id="1112" name="AutoShape 94"/>
          <xdr:cNvSpPr>
            <a:spLocks/>
          </xdr:cNvSpPr>
        </xdr:nvSpPr>
        <xdr:spPr>
          <a:xfrm rot="14400000">
            <a:off x="880" y="805"/>
            <a:ext cx="40" cy="47"/>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3" name="Arc 95"/>
          <xdr:cNvSpPr>
            <a:spLocks/>
          </xdr:cNvSpPr>
        </xdr:nvSpPr>
        <xdr:spPr>
          <a:xfrm rot="12600000" flipV="1">
            <a:off x="881" y="828"/>
            <a:ext cx="31" cy="33"/>
          </a:xfrm>
          <a:prstGeom prst="arc">
            <a:avLst>
              <a:gd name="adj1" fmla="val -27506819"/>
              <a:gd name="adj2" fmla="val -8588819"/>
              <a:gd name="adj3" fmla="val -49134"/>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4" name="Arc 96"/>
          <xdr:cNvSpPr>
            <a:spLocks/>
          </xdr:cNvSpPr>
        </xdr:nvSpPr>
        <xdr:spPr>
          <a:xfrm rot="5400000" flipH="1">
            <a:off x="885" y="833"/>
            <a:ext cx="11" cy="18"/>
          </a:xfrm>
          <a:prstGeom prst="arc">
            <a:avLst>
              <a:gd name="adj1" fmla="val -27356671"/>
              <a:gd name="adj2" fmla="val 8748500"/>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5" name="Arc 97"/>
          <xdr:cNvSpPr>
            <a:spLocks/>
          </xdr:cNvSpPr>
        </xdr:nvSpPr>
        <xdr:spPr>
          <a:xfrm rot="5400000" flipV="1">
            <a:off x="902" y="808"/>
            <a:ext cx="30" cy="33"/>
          </a:xfrm>
          <a:prstGeom prst="arc">
            <a:avLst>
              <a:gd name="adj1" fmla="val -27506819"/>
              <a:gd name="adj2" fmla="val -8588819"/>
              <a:gd name="adj3" fmla="val -49134"/>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6" name="Rectangle 98"/>
          <xdr:cNvSpPr>
            <a:spLocks/>
          </xdr:cNvSpPr>
        </xdr:nvSpPr>
        <xdr:spPr>
          <a:xfrm rot="5400000">
            <a:off x="895" y="830"/>
            <a:ext cx="10" cy="6"/>
          </a:xfrm>
          <a:prstGeom prst="rect">
            <a:avLst/>
          </a:prstGeom>
          <a:solidFill>
            <a:srgbClr val="FF66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7" name="Line 99"/>
          <xdr:cNvSpPr>
            <a:spLocks/>
          </xdr:cNvSpPr>
        </xdr:nvSpPr>
        <xdr:spPr>
          <a:xfrm rot="-1800000" flipH="1">
            <a:off x="890" y="811"/>
            <a:ext cx="20" cy="3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8" name="Oval 100"/>
          <xdr:cNvSpPr>
            <a:spLocks/>
          </xdr:cNvSpPr>
        </xdr:nvSpPr>
        <xdr:spPr>
          <a:xfrm rot="7200000">
            <a:off x="884" y="807"/>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46</a:t>
            </a:r>
          </a:p>
        </xdr:txBody>
      </xdr:sp>
    </xdr:grpSp>
    <xdr:clientData/>
  </xdr:twoCellAnchor>
  <xdr:twoCellAnchor editAs="absolute">
    <xdr:from>
      <xdr:col>33</xdr:col>
      <xdr:colOff>76200</xdr:colOff>
      <xdr:row>33</xdr:row>
      <xdr:rowOff>28575</xdr:rowOff>
    </xdr:from>
    <xdr:to>
      <xdr:col>35</xdr:col>
      <xdr:colOff>133350</xdr:colOff>
      <xdr:row>36</xdr:row>
      <xdr:rowOff>142875</xdr:rowOff>
    </xdr:to>
    <xdr:grpSp>
      <xdr:nvGrpSpPr>
        <xdr:cNvPr id="1119" name="Group 101"/>
        <xdr:cNvGrpSpPr>
          <a:grpSpLocks/>
        </xdr:cNvGrpSpPr>
      </xdr:nvGrpSpPr>
      <xdr:grpSpPr>
        <a:xfrm>
          <a:off x="6362700" y="5610225"/>
          <a:ext cx="438150" cy="609600"/>
          <a:chOff x="605" y="502"/>
          <a:chExt cx="46" cy="64"/>
        </a:xfrm>
        <a:solidFill>
          <a:srgbClr val="FFFFFF"/>
        </a:solidFill>
      </xdr:grpSpPr>
      <xdr:sp>
        <xdr:nvSpPr>
          <xdr:cNvPr id="1120" name="AutoShape 102"/>
          <xdr:cNvSpPr>
            <a:spLocks/>
          </xdr:cNvSpPr>
        </xdr:nvSpPr>
        <xdr:spPr>
          <a:xfrm rot="21614661">
            <a:off x="605" y="514"/>
            <a:ext cx="46" cy="40"/>
          </a:xfrm>
          <a:prstGeom prst="hexagon">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1" name="Arc 103"/>
          <xdr:cNvSpPr>
            <a:spLocks/>
          </xdr:cNvSpPr>
        </xdr:nvSpPr>
        <xdr:spPr>
          <a:xfrm rot="3391776" flipV="1">
            <a:off x="609" y="502"/>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2" name="Arc 104"/>
          <xdr:cNvSpPr>
            <a:spLocks/>
          </xdr:cNvSpPr>
        </xdr:nvSpPr>
        <xdr:spPr>
          <a:xfrm rot="18208223">
            <a:off x="609" y="534"/>
            <a:ext cx="32" cy="32"/>
          </a:xfrm>
          <a:prstGeom prst="arc">
            <a:avLst>
              <a:gd name="adj1" fmla="val -20353004"/>
              <a:gd name="adj2" fmla="val -1014787"/>
              <a:gd name="adj3" fmla="val 41995"/>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3" name="Line 105"/>
          <xdr:cNvSpPr>
            <a:spLocks/>
          </xdr:cNvSpPr>
        </xdr:nvSpPr>
        <xdr:spPr>
          <a:xfrm rot="19715690">
            <a:off x="608" y="533"/>
            <a:ext cx="39" cy="2"/>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4" name="Line 106"/>
          <xdr:cNvSpPr>
            <a:spLocks/>
          </xdr:cNvSpPr>
        </xdr:nvSpPr>
        <xdr:spPr>
          <a:xfrm>
            <a:off x="610" y="524"/>
            <a:ext cx="35" cy="2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5" name="Oval 107"/>
          <xdr:cNvSpPr>
            <a:spLocks/>
          </xdr:cNvSpPr>
        </xdr:nvSpPr>
        <xdr:spPr>
          <a:xfrm>
            <a:off x="635" y="526"/>
            <a:ext cx="15" cy="15"/>
          </a:xfrm>
          <a:prstGeom prst="ellipse">
            <a:avLst/>
          </a:prstGeom>
          <a:noFill/>
          <a:ln w="3175" cmpd="sng">
            <a:noFill/>
          </a:ln>
        </xdr:spPr>
        <xdr:txBody>
          <a:bodyPr vertOverflow="clip" wrap="square" lIns="0" tIns="0" rIns="0" bIns="0"/>
          <a:p>
            <a:pPr algn="ctr">
              <a:defRPr/>
            </a:pPr>
            <a:r>
              <a:rPr lang="en-US" cap="none" sz="600" b="0" i="0" u="none" baseline="0">
                <a:latin typeface="ＭＳ Ｐゴシック"/>
                <a:ea typeface="ＭＳ Ｐゴシック"/>
                <a:cs typeface="ＭＳ Ｐゴシック"/>
              </a:rPr>
              <a:t>47</a:t>
            </a:r>
          </a:p>
        </xdr:txBody>
      </xdr:sp>
    </xdr:grpSp>
    <xdr:clientData/>
  </xdr:twoCellAnchor>
  <xdr:twoCellAnchor>
    <xdr:from>
      <xdr:col>25</xdr:col>
      <xdr:colOff>28575</xdr:colOff>
      <xdr:row>19</xdr:row>
      <xdr:rowOff>76200</xdr:rowOff>
    </xdr:from>
    <xdr:to>
      <xdr:col>26</xdr:col>
      <xdr:colOff>85725</xdr:colOff>
      <xdr:row>20</xdr:row>
      <xdr:rowOff>152400</xdr:rowOff>
    </xdr:to>
    <xdr:grpSp>
      <xdr:nvGrpSpPr>
        <xdr:cNvPr id="1126" name="Group 117"/>
        <xdr:cNvGrpSpPr>
          <a:grpSpLocks/>
        </xdr:cNvGrpSpPr>
      </xdr:nvGrpSpPr>
      <xdr:grpSpPr>
        <a:xfrm>
          <a:off x="4791075" y="3276600"/>
          <a:ext cx="247650" cy="247650"/>
          <a:chOff x="113" y="574"/>
          <a:chExt cx="26" cy="26"/>
        </a:xfrm>
        <a:solidFill>
          <a:srgbClr val="FFFFFF"/>
        </a:solidFill>
      </xdr:grpSpPr>
      <xdr:sp>
        <xdr:nvSpPr>
          <xdr:cNvPr id="1127" name="Oval 118"/>
          <xdr:cNvSpPr>
            <a:spLocks/>
          </xdr:cNvSpPr>
        </xdr:nvSpPr>
        <xdr:spPr>
          <a:xfrm>
            <a:off x="117" y="580"/>
            <a:ext cx="18" cy="17"/>
          </a:xfrm>
          <a:prstGeom prst="ellipse">
            <a:avLst/>
          </a:prstGeom>
          <a:solidFill>
            <a:srgbClr val="FFFFFF"/>
          </a:solidFill>
          <a:ln w="9525" cmpd="sng">
            <a:solidFill>
              <a:srgbClr val="000000"/>
            </a:solidFill>
            <a:headEnd type="none"/>
            <a:tailEnd type="none"/>
          </a:ln>
        </xdr:spPr>
        <xdr:txBody>
          <a:bodyPr vertOverflow="clip" wrap="square" anchor="b"/>
          <a:p>
            <a:pPr algn="ctr">
              <a:defRPr/>
            </a:pPr>
            <a:r>
              <a:rPr lang="en-US" cap="none" u="none" baseline="0">
                <a:latin typeface="ＭＳ Ｐゴシック"/>
                <a:ea typeface="ＭＳ Ｐゴシック"/>
                <a:cs typeface="ＭＳ Ｐゴシック"/>
              </a:rPr>
              <a:t/>
            </a:r>
          </a:p>
        </xdr:txBody>
      </xdr:sp>
      <xdr:sp>
        <xdr:nvSpPr>
          <xdr:cNvPr id="1128" name="Oval 119"/>
          <xdr:cNvSpPr>
            <a:spLocks/>
          </xdr:cNvSpPr>
        </xdr:nvSpPr>
        <xdr:spPr>
          <a:xfrm>
            <a:off x="113" y="574"/>
            <a:ext cx="26" cy="26"/>
          </a:xfrm>
          <a:prstGeom prst="ellipse">
            <a:avLst/>
          </a:prstGeom>
          <a:noFill/>
          <a:ln w="9525" cmpd="sng">
            <a:noFill/>
          </a:ln>
        </xdr:spPr>
        <xdr:txBody>
          <a:bodyPr vertOverflow="clip" wrap="square" anchor="b"/>
          <a:p>
            <a:pPr algn="ctr">
              <a:defRPr/>
            </a:pPr>
            <a:r>
              <a:rPr lang="en-US" cap="none" sz="900" b="0" i="0" u="none" baseline="0">
                <a:latin typeface="ＭＳ Ｐゴシック"/>
                <a:ea typeface="ＭＳ Ｐゴシック"/>
                <a:cs typeface="ＭＳ Ｐゴシック"/>
              </a:rPr>
              <a:t>急</a:t>
            </a:r>
          </a:p>
        </xdr:txBody>
      </xdr:sp>
    </xdr:grpSp>
    <xdr:clientData/>
  </xdr:twoCellAnchor>
  <xdr:twoCellAnchor>
    <xdr:from>
      <xdr:col>11</xdr:col>
      <xdr:colOff>57150</xdr:colOff>
      <xdr:row>15</xdr:row>
      <xdr:rowOff>19050</xdr:rowOff>
    </xdr:from>
    <xdr:to>
      <xdr:col>12</xdr:col>
      <xdr:colOff>114300</xdr:colOff>
      <xdr:row>16</xdr:row>
      <xdr:rowOff>95250</xdr:rowOff>
    </xdr:to>
    <xdr:grpSp>
      <xdr:nvGrpSpPr>
        <xdr:cNvPr id="1129" name="Group 120"/>
        <xdr:cNvGrpSpPr>
          <a:grpSpLocks/>
        </xdr:cNvGrpSpPr>
      </xdr:nvGrpSpPr>
      <xdr:grpSpPr>
        <a:xfrm>
          <a:off x="2152650" y="2533650"/>
          <a:ext cx="247650" cy="247650"/>
          <a:chOff x="175" y="572"/>
          <a:chExt cx="26" cy="26"/>
        </a:xfrm>
        <a:solidFill>
          <a:srgbClr val="FFFFFF"/>
        </a:solidFill>
      </xdr:grpSpPr>
      <xdr:sp>
        <xdr:nvSpPr>
          <xdr:cNvPr id="1130" name="Oval 121"/>
          <xdr:cNvSpPr>
            <a:spLocks/>
          </xdr:cNvSpPr>
        </xdr:nvSpPr>
        <xdr:spPr>
          <a:xfrm>
            <a:off x="179" y="578"/>
            <a:ext cx="18" cy="17"/>
          </a:xfrm>
          <a:prstGeom prst="ellipse">
            <a:avLst/>
          </a:prstGeom>
          <a:solidFill>
            <a:srgbClr val="FFFFFF"/>
          </a:solidFill>
          <a:ln w="9525" cmpd="sng">
            <a:solidFill>
              <a:srgbClr val="000000"/>
            </a:solidFill>
            <a:headEnd type="none"/>
            <a:tailEnd type="none"/>
          </a:ln>
        </xdr:spPr>
        <xdr:txBody>
          <a:bodyPr vertOverflow="clip" wrap="square" anchor="b"/>
          <a:p>
            <a:pPr algn="ctr">
              <a:defRPr/>
            </a:pPr>
            <a:r>
              <a:rPr lang="en-US" cap="none" u="none" baseline="0">
                <a:latin typeface="ＭＳ Ｐゴシック"/>
                <a:ea typeface="ＭＳ Ｐゴシック"/>
                <a:cs typeface="ＭＳ Ｐゴシック"/>
              </a:rPr>
              <a:t/>
            </a:r>
          </a:p>
        </xdr:txBody>
      </xdr:sp>
      <xdr:sp>
        <xdr:nvSpPr>
          <xdr:cNvPr id="1131" name="Oval 122"/>
          <xdr:cNvSpPr>
            <a:spLocks/>
          </xdr:cNvSpPr>
        </xdr:nvSpPr>
        <xdr:spPr>
          <a:xfrm>
            <a:off x="175" y="572"/>
            <a:ext cx="26" cy="26"/>
          </a:xfrm>
          <a:prstGeom prst="ellipse">
            <a:avLst/>
          </a:prstGeom>
          <a:noFill/>
          <a:ln w="9525" cmpd="sng">
            <a:noFill/>
          </a:ln>
        </xdr:spPr>
        <xdr:txBody>
          <a:bodyPr vertOverflow="clip" wrap="square" anchor="b"/>
          <a:p>
            <a:pPr algn="ctr">
              <a:defRPr/>
            </a:pPr>
            <a:r>
              <a:rPr lang="en-US" cap="none" sz="900" b="0" i="0" u="none" baseline="0">
                <a:latin typeface="ＭＳ Ｐゴシック"/>
                <a:ea typeface="ＭＳ Ｐゴシック"/>
                <a:cs typeface="ＭＳ Ｐゴシック"/>
              </a:rPr>
              <a:t>地</a:t>
            </a:r>
          </a:p>
        </xdr:txBody>
      </xdr:sp>
    </xdr:grpSp>
    <xdr:clientData/>
  </xdr:twoCellAnchor>
  <xdr:twoCellAnchor>
    <xdr:from>
      <xdr:col>24</xdr:col>
      <xdr:colOff>9525</xdr:colOff>
      <xdr:row>19</xdr:row>
      <xdr:rowOff>66675</xdr:rowOff>
    </xdr:from>
    <xdr:to>
      <xdr:col>25</xdr:col>
      <xdr:colOff>66675</xdr:colOff>
      <xdr:row>20</xdr:row>
      <xdr:rowOff>142875</xdr:rowOff>
    </xdr:to>
    <xdr:grpSp>
      <xdr:nvGrpSpPr>
        <xdr:cNvPr id="1132" name="Group 123"/>
        <xdr:cNvGrpSpPr>
          <a:grpSpLocks/>
        </xdr:cNvGrpSpPr>
      </xdr:nvGrpSpPr>
      <xdr:grpSpPr>
        <a:xfrm>
          <a:off x="4581525" y="3267075"/>
          <a:ext cx="247650" cy="247650"/>
          <a:chOff x="113" y="574"/>
          <a:chExt cx="26" cy="26"/>
        </a:xfrm>
        <a:solidFill>
          <a:srgbClr val="FFFFFF"/>
        </a:solidFill>
      </xdr:grpSpPr>
      <xdr:sp>
        <xdr:nvSpPr>
          <xdr:cNvPr id="1133" name="Oval 124"/>
          <xdr:cNvSpPr>
            <a:spLocks/>
          </xdr:cNvSpPr>
        </xdr:nvSpPr>
        <xdr:spPr>
          <a:xfrm>
            <a:off x="117" y="580"/>
            <a:ext cx="18" cy="17"/>
          </a:xfrm>
          <a:prstGeom prst="ellipse">
            <a:avLst/>
          </a:prstGeom>
          <a:solidFill>
            <a:srgbClr val="FFFFFF"/>
          </a:solidFill>
          <a:ln w="9525" cmpd="sng">
            <a:solidFill>
              <a:srgbClr val="000000"/>
            </a:solidFill>
            <a:headEnd type="none"/>
            <a:tailEnd type="none"/>
          </a:ln>
        </xdr:spPr>
        <xdr:txBody>
          <a:bodyPr vertOverflow="clip" wrap="square" anchor="b"/>
          <a:p>
            <a:pPr algn="ctr">
              <a:defRPr/>
            </a:pPr>
            <a:r>
              <a:rPr lang="en-US" cap="none" u="none" baseline="0">
                <a:latin typeface="ＭＳ Ｐゴシック"/>
                <a:ea typeface="ＭＳ Ｐゴシック"/>
                <a:cs typeface="ＭＳ Ｐゴシック"/>
              </a:rPr>
              <a:t/>
            </a:r>
          </a:p>
        </xdr:txBody>
      </xdr:sp>
      <xdr:sp>
        <xdr:nvSpPr>
          <xdr:cNvPr id="1134" name="Oval 125"/>
          <xdr:cNvSpPr>
            <a:spLocks/>
          </xdr:cNvSpPr>
        </xdr:nvSpPr>
        <xdr:spPr>
          <a:xfrm>
            <a:off x="113" y="574"/>
            <a:ext cx="26" cy="26"/>
          </a:xfrm>
          <a:prstGeom prst="ellipse">
            <a:avLst/>
          </a:prstGeom>
          <a:noFill/>
          <a:ln w="9525" cmpd="sng">
            <a:noFill/>
          </a:ln>
        </xdr:spPr>
        <xdr:txBody>
          <a:bodyPr vertOverflow="clip" wrap="square" anchor="b"/>
          <a:p>
            <a:pPr algn="ctr">
              <a:defRPr/>
            </a:pPr>
            <a:r>
              <a:rPr lang="en-US" cap="none" sz="900" b="0" i="0" u="none" baseline="0">
                <a:latin typeface="ＭＳ Ｐゴシック"/>
                <a:ea typeface="ＭＳ Ｐゴシック"/>
                <a:cs typeface="ＭＳ Ｐゴシック"/>
              </a:rPr>
              <a:t>急</a:t>
            </a:r>
          </a:p>
        </xdr:txBody>
      </xdr:sp>
    </xdr:grpSp>
    <xdr:clientData/>
  </xdr:twoCellAnchor>
  <xdr:twoCellAnchor>
    <xdr:from>
      <xdr:col>12</xdr:col>
      <xdr:colOff>123825</xdr:colOff>
      <xdr:row>9</xdr:row>
      <xdr:rowOff>57150</xdr:rowOff>
    </xdr:from>
    <xdr:to>
      <xdr:col>13</xdr:col>
      <xdr:colOff>180975</xdr:colOff>
      <xdr:row>10</xdr:row>
      <xdr:rowOff>133350</xdr:rowOff>
    </xdr:to>
    <xdr:grpSp>
      <xdr:nvGrpSpPr>
        <xdr:cNvPr id="1135" name="Group 126"/>
        <xdr:cNvGrpSpPr>
          <a:grpSpLocks/>
        </xdr:cNvGrpSpPr>
      </xdr:nvGrpSpPr>
      <xdr:grpSpPr>
        <a:xfrm>
          <a:off x="2409825" y="1543050"/>
          <a:ext cx="247650" cy="247650"/>
          <a:chOff x="113" y="574"/>
          <a:chExt cx="26" cy="26"/>
        </a:xfrm>
        <a:solidFill>
          <a:srgbClr val="FFFFFF"/>
        </a:solidFill>
      </xdr:grpSpPr>
      <xdr:sp>
        <xdr:nvSpPr>
          <xdr:cNvPr id="1136" name="Oval 127"/>
          <xdr:cNvSpPr>
            <a:spLocks/>
          </xdr:cNvSpPr>
        </xdr:nvSpPr>
        <xdr:spPr>
          <a:xfrm>
            <a:off x="117" y="580"/>
            <a:ext cx="18" cy="17"/>
          </a:xfrm>
          <a:prstGeom prst="ellipse">
            <a:avLst/>
          </a:prstGeom>
          <a:solidFill>
            <a:srgbClr val="FFFFFF"/>
          </a:solidFill>
          <a:ln w="9525" cmpd="sng">
            <a:solidFill>
              <a:srgbClr val="000000"/>
            </a:solidFill>
            <a:headEnd type="none"/>
            <a:tailEnd type="none"/>
          </a:ln>
        </xdr:spPr>
        <xdr:txBody>
          <a:bodyPr vertOverflow="clip" wrap="square" anchor="b"/>
          <a:p>
            <a:pPr algn="ctr">
              <a:defRPr/>
            </a:pPr>
            <a:r>
              <a:rPr lang="en-US" cap="none" u="none" baseline="0">
                <a:latin typeface="ＭＳ Ｐゴシック"/>
                <a:ea typeface="ＭＳ Ｐゴシック"/>
                <a:cs typeface="ＭＳ Ｐゴシック"/>
              </a:rPr>
              <a:t/>
            </a:r>
          </a:p>
        </xdr:txBody>
      </xdr:sp>
      <xdr:sp>
        <xdr:nvSpPr>
          <xdr:cNvPr id="1137" name="Oval 128"/>
          <xdr:cNvSpPr>
            <a:spLocks/>
          </xdr:cNvSpPr>
        </xdr:nvSpPr>
        <xdr:spPr>
          <a:xfrm>
            <a:off x="113" y="574"/>
            <a:ext cx="26" cy="26"/>
          </a:xfrm>
          <a:prstGeom prst="ellipse">
            <a:avLst/>
          </a:prstGeom>
          <a:noFill/>
          <a:ln w="9525" cmpd="sng">
            <a:noFill/>
          </a:ln>
        </xdr:spPr>
        <xdr:txBody>
          <a:bodyPr vertOverflow="clip" wrap="square" anchor="b"/>
          <a:p>
            <a:pPr algn="ctr">
              <a:defRPr/>
            </a:pPr>
            <a:r>
              <a:rPr lang="en-US" cap="none" sz="900" b="0" i="0" u="none" baseline="0">
                <a:latin typeface="ＭＳ Ｐゴシック"/>
                <a:ea typeface="ＭＳ Ｐゴシック"/>
                <a:cs typeface="ＭＳ Ｐゴシック"/>
              </a:rPr>
              <a:t>急</a:t>
            </a:r>
          </a:p>
        </xdr:txBody>
      </xdr:sp>
    </xdr:grpSp>
    <xdr:clientData/>
  </xdr:twoCellAnchor>
  <xdr:twoCellAnchor>
    <xdr:from>
      <xdr:col>26</xdr:col>
      <xdr:colOff>9525</xdr:colOff>
      <xdr:row>19</xdr:row>
      <xdr:rowOff>95250</xdr:rowOff>
    </xdr:from>
    <xdr:to>
      <xdr:col>27</xdr:col>
      <xdr:colOff>66675</xdr:colOff>
      <xdr:row>21</xdr:row>
      <xdr:rowOff>0</xdr:rowOff>
    </xdr:to>
    <xdr:grpSp>
      <xdr:nvGrpSpPr>
        <xdr:cNvPr id="1138" name="Group 129"/>
        <xdr:cNvGrpSpPr>
          <a:grpSpLocks/>
        </xdr:cNvGrpSpPr>
      </xdr:nvGrpSpPr>
      <xdr:grpSpPr>
        <a:xfrm>
          <a:off x="4962525" y="3295650"/>
          <a:ext cx="247650" cy="247650"/>
          <a:chOff x="113" y="574"/>
          <a:chExt cx="26" cy="26"/>
        </a:xfrm>
        <a:solidFill>
          <a:srgbClr val="FFFFFF"/>
        </a:solidFill>
      </xdr:grpSpPr>
      <xdr:sp>
        <xdr:nvSpPr>
          <xdr:cNvPr id="1139" name="Oval 130"/>
          <xdr:cNvSpPr>
            <a:spLocks/>
          </xdr:cNvSpPr>
        </xdr:nvSpPr>
        <xdr:spPr>
          <a:xfrm>
            <a:off x="117" y="580"/>
            <a:ext cx="18" cy="17"/>
          </a:xfrm>
          <a:prstGeom prst="ellipse">
            <a:avLst/>
          </a:prstGeom>
          <a:solidFill>
            <a:srgbClr val="FFFFFF"/>
          </a:solidFill>
          <a:ln w="9525" cmpd="sng">
            <a:solidFill>
              <a:srgbClr val="000000"/>
            </a:solidFill>
            <a:headEnd type="none"/>
            <a:tailEnd type="none"/>
          </a:ln>
        </xdr:spPr>
        <xdr:txBody>
          <a:bodyPr vertOverflow="clip" wrap="square" anchor="b"/>
          <a:p>
            <a:pPr algn="ctr">
              <a:defRPr/>
            </a:pPr>
            <a:r>
              <a:rPr lang="en-US" cap="none" u="none" baseline="0">
                <a:latin typeface="ＭＳ Ｐゴシック"/>
                <a:ea typeface="ＭＳ Ｐゴシック"/>
                <a:cs typeface="ＭＳ Ｐゴシック"/>
              </a:rPr>
              <a:t/>
            </a:r>
          </a:p>
        </xdr:txBody>
      </xdr:sp>
      <xdr:sp>
        <xdr:nvSpPr>
          <xdr:cNvPr id="1140" name="Oval 131"/>
          <xdr:cNvSpPr>
            <a:spLocks/>
          </xdr:cNvSpPr>
        </xdr:nvSpPr>
        <xdr:spPr>
          <a:xfrm>
            <a:off x="113" y="574"/>
            <a:ext cx="26" cy="26"/>
          </a:xfrm>
          <a:prstGeom prst="ellipse">
            <a:avLst/>
          </a:prstGeom>
          <a:noFill/>
          <a:ln w="9525" cmpd="sng">
            <a:noFill/>
          </a:ln>
        </xdr:spPr>
        <xdr:txBody>
          <a:bodyPr vertOverflow="clip" wrap="square" anchor="b"/>
          <a:p>
            <a:pPr algn="ctr">
              <a:defRPr/>
            </a:pPr>
            <a:r>
              <a:rPr lang="en-US" cap="none" sz="900" b="0" i="0" u="none" baseline="0">
                <a:latin typeface="ＭＳ Ｐゴシック"/>
                <a:ea typeface="ＭＳ Ｐゴシック"/>
                <a:cs typeface="ＭＳ Ｐゴシック"/>
              </a:rPr>
              <a:t>急</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73"/>
  <sheetViews>
    <sheetView tabSelected="1" workbookViewId="0" topLeftCell="A1">
      <selection activeCell="J21" sqref="J21"/>
    </sheetView>
  </sheetViews>
  <sheetFormatPr defaultColWidth="9.00390625" defaultRowHeight="13.5"/>
  <cols>
    <col min="1" max="1" width="7.125" style="1" customWidth="1"/>
    <col min="2" max="2" width="11.00390625" style="1" bestFit="1" customWidth="1"/>
    <col min="3" max="3" width="8.50390625" style="1" bestFit="1" customWidth="1"/>
    <col min="4" max="5" width="7.50390625" style="1" customWidth="1"/>
    <col min="6" max="6" width="5.50390625" style="44" bestFit="1" customWidth="1"/>
    <col min="7" max="12" width="5.625" style="44" customWidth="1"/>
    <col min="13" max="13" width="6.50390625" style="44" bestFit="1" customWidth="1"/>
    <col min="14" max="14" width="8.25390625" style="44" bestFit="1" customWidth="1"/>
    <col min="15" max="15" width="6.50390625" style="44" bestFit="1" customWidth="1"/>
    <col min="16" max="16" width="8.25390625" style="44" bestFit="1" customWidth="1"/>
    <col min="17" max="19" width="6.50390625" style="44" bestFit="1" customWidth="1"/>
    <col min="20" max="20" width="6.625" style="44" bestFit="1" customWidth="1"/>
    <col min="21" max="21" width="6.625" style="1" bestFit="1" customWidth="1"/>
    <col min="22" max="16384" width="9.00390625" style="1" customWidth="1"/>
  </cols>
  <sheetData>
    <row r="1" spans="1:5" ht="13.5">
      <c r="A1" s="314" t="s">
        <v>126</v>
      </c>
      <c r="C1" s="19"/>
      <c r="D1" s="19"/>
      <c r="E1" s="19"/>
    </row>
    <row r="2" spans="1:5" ht="14.25" thickBot="1">
      <c r="A2" s="470" t="s">
        <v>129</v>
      </c>
      <c r="B2" s="289">
        <v>6</v>
      </c>
      <c r="C2" s="471">
        <f>IF(B2=B21,C21+1,1)</f>
        <v>3</v>
      </c>
      <c r="D2" s="471"/>
      <c r="E2" s="245"/>
    </row>
    <row r="3" spans="1:20" ht="13.5">
      <c r="A3" s="470"/>
      <c r="B3" s="472" t="s">
        <v>6</v>
      </c>
      <c r="C3" s="472" t="s">
        <v>1</v>
      </c>
      <c r="D3" s="467" t="s">
        <v>23</v>
      </c>
      <c r="E3" s="465" t="s">
        <v>29</v>
      </c>
      <c r="F3" s="467" t="s">
        <v>15</v>
      </c>
      <c r="G3" s="468"/>
      <c r="H3" s="468"/>
      <c r="I3" s="468"/>
      <c r="J3" s="468"/>
      <c r="K3" s="468"/>
      <c r="L3" s="465"/>
      <c r="M3" s="469" t="s">
        <v>14</v>
      </c>
      <c r="N3" s="469"/>
      <c r="O3" s="468"/>
      <c r="P3" s="468"/>
      <c r="Q3" s="468"/>
      <c r="R3" s="468"/>
      <c r="S3" s="468"/>
      <c r="T3" s="465"/>
    </row>
    <row r="4" spans="1:20" ht="14.25" thickBot="1">
      <c r="A4" s="470"/>
      <c r="B4" s="473"/>
      <c r="C4" s="473"/>
      <c r="D4" s="474"/>
      <c r="E4" s="466"/>
      <c r="F4" s="115" t="s">
        <v>16</v>
      </c>
      <c r="G4" s="46" t="s">
        <v>115</v>
      </c>
      <c r="H4" s="40" t="s">
        <v>119</v>
      </c>
      <c r="I4" s="40" t="s">
        <v>123</v>
      </c>
      <c r="J4" s="40" t="s">
        <v>130</v>
      </c>
      <c r="K4" s="164" t="s">
        <v>124</v>
      </c>
      <c r="L4" s="41" t="s">
        <v>125</v>
      </c>
      <c r="M4" s="46" t="s">
        <v>7</v>
      </c>
      <c r="N4" s="46" t="s">
        <v>53</v>
      </c>
      <c r="O4" s="40" t="s">
        <v>21</v>
      </c>
      <c r="P4" s="40" t="s">
        <v>52</v>
      </c>
      <c r="Q4" s="40" t="s">
        <v>8</v>
      </c>
      <c r="R4" s="47" t="s">
        <v>9</v>
      </c>
      <c r="S4" s="47" t="s">
        <v>10</v>
      </c>
      <c r="T4" s="48" t="s">
        <v>11</v>
      </c>
    </row>
    <row r="5" spans="1:20" ht="13.5">
      <c r="A5" s="470"/>
      <c r="B5" s="110" t="s">
        <v>39</v>
      </c>
      <c r="C5" s="111">
        <f>C24+D5-E5</f>
        <v>0</v>
      </c>
      <c r="D5" s="297"/>
      <c r="E5" s="299"/>
      <c r="F5" s="331"/>
      <c r="G5" s="328"/>
      <c r="H5" s="281"/>
      <c r="I5" s="281"/>
      <c r="J5" s="281"/>
      <c r="K5" s="281"/>
      <c r="L5" s="282"/>
      <c r="M5" s="114"/>
      <c r="N5" s="114"/>
      <c r="O5" s="112"/>
      <c r="P5" s="112"/>
      <c r="Q5" s="281"/>
      <c r="R5" s="281"/>
      <c r="S5" s="281"/>
      <c r="T5" s="282"/>
    </row>
    <row r="6" spans="1:20" ht="13.5">
      <c r="A6" s="470"/>
      <c r="B6" s="63" t="s">
        <v>40</v>
      </c>
      <c r="C6" s="109">
        <f>C25+D6-E6</f>
        <v>0</v>
      </c>
      <c r="D6" s="318"/>
      <c r="E6" s="319"/>
      <c r="F6" s="332"/>
      <c r="G6" s="329"/>
      <c r="H6" s="284"/>
      <c r="I6" s="284"/>
      <c r="J6" s="284"/>
      <c r="K6" s="284"/>
      <c r="L6" s="285"/>
      <c r="M6" s="102"/>
      <c r="N6" s="102"/>
      <c r="O6" s="100"/>
      <c r="P6" s="284"/>
      <c r="Q6" s="284"/>
      <c r="R6" s="284"/>
      <c r="S6" s="284"/>
      <c r="T6" s="285"/>
    </row>
    <row r="7" spans="1:20" ht="13.5">
      <c r="A7" s="470"/>
      <c r="B7" s="63" t="s">
        <v>41</v>
      </c>
      <c r="C7" s="109">
        <f>C26+D7-E7</f>
        <v>0</v>
      </c>
      <c r="D7" s="318"/>
      <c r="E7" s="319"/>
      <c r="F7" s="332"/>
      <c r="G7" s="329"/>
      <c r="H7" s="284"/>
      <c r="I7" s="284"/>
      <c r="J7" s="284"/>
      <c r="K7" s="284"/>
      <c r="L7" s="285"/>
      <c r="M7" s="102"/>
      <c r="N7" s="102"/>
      <c r="O7" s="100"/>
      <c r="P7" s="284"/>
      <c r="Q7" s="284"/>
      <c r="R7" s="284"/>
      <c r="S7" s="284"/>
      <c r="T7" s="285"/>
    </row>
    <row r="8" spans="1:20" ht="13.5">
      <c r="A8" s="470"/>
      <c r="B8" s="63" t="s">
        <v>42</v>
      </c>
      <c r="C8" s="109">
        <f>C27+D8-E8</f>
        <v>0</v>
      </c>
      <c r="D8" s="318"/>
      <c r="E8" s="319"/>
      <c r="F8" s="332"/>
      <c r="G8" s="329"/>
      <c r="H8" s="284"/>
      <c r="I8" s="284"/>
      <c r="J8" s="284"/>
      <c r="K8" s="284"/>
      <c r="L8" s="285"/>
      <c r="M8" s="102"/>
      <c r="N8" s="102"/>
      <c r="O8" s="100"/>
      <c r="P8" s="100"/>
      <c r="Q8" s="100"/>
      <c r="R8" s="100"/>
      <c r="S8" s="284"/>
      <c r="T8" s="285"/>
    </row>
    <row r="9" spans="1:20" ht="14.25" thickBot="1">
      <c r="A9" s="470"/>
      <c r="B9" s="115" t="s">
        <v>43</v>
      </c>
      <c r="C9" s="116">
        <f>C28+D9-E9</f>
        <v>493</v>
      </c>
      <c r="D9" s="320">
        <v>493</v>
      </c>
      <c r="E9" s="321">
        <v>493</v>
      </c>
      <c r="F9" s="333"/>
      <c r="G9" s="330"/>
      <c r="H9" s="287"/>
      <c r="I9" s="287"/>
      <c r="J9" s="287"/>
      <c r="K9" s="287"/>
      <c r="L9" s="288"/>
      <c r="M9" s="119"/>
      <c r="N9" s="119"/>
      <c r="O9" s="117"/>
      <c r="P9" s="117"/>
      <c r="Q9" s="117"/>
      <c r="R9" s="117"/>
      <c r="S9" s="117"/>
      <c r="T9" s="118"/>
    </row>
    <row r="10" spans="1:20" ht="13.5">
      <c r="A10" s="470"/>
      <c r="B10" s="110" t="s">
        <v>54</v>
      </c>
      <c r="C10" s="111">
        <f aca="true" t="shared" si="0" ref="C10:C17">C29+D10-E10+F10</f>
        <v>0</v>
      </c>
      <c r="D10" s="322"/>
      <c r="E10" s="323"/>
      <c r="F10" s="335">
        <f>IF(G10&lt;&gt;"○",0,5)+IF(H10&lt;&gt;"○",0,10)+IF(I10&lt;&gt;"○",0,15)+IF(J10&lt;&gt;"○",0,20)+IF(K10&lt;&gt;"○",0,25)+IF(L10&lt;&gt;"○",0,40)</f>
        <v>0</v>
      </c>
      <c r="G10" s="339"/>
      <c r="H10" s="340"/>
      <c r="I10" s="340"/>
      <c r="J10" s="340"/>
      <c r="K10" s="340"/>
      <c r="L10" s="341"/>
      <c r="M10" s="114"/>
      <c r="N10" s="114"/>
      <c r="O10" s="112"/>
      <c r="P10" s="112"/>
      <c r="Q10" s="112"/>
      <c r="R10" s="112"/>
      <c r="S10" s="112"/>
      <c r="T10" s="113">
        <v>1</v>
      </c>
    </row>
    <row r="11" spans="1:20" ht="13.5">
      <c r="A11" s="470"/>
      <c r="B11" s="63" t="s">
        <v>55</v>
      </c>
      <c r="C11" s="109">
        <f t="shared" si="0"/>
        <v>232</v>
      </c>
      <c r="D11" s="318">
        <f>180+17*3</f>
        <v>231</v>
      </c>
      <c r="E11" s="319"/>
      <c r="F11" s="336">
        <f aca="true" t="shared" si="1" ref="F11:F17">IF(G11&lt;&gt;"○",0,5)+IF(H11&lt;&gt;"○",0,10)+IF(I11&lt;&gt;"○",0,15)+IF(J11&lt;&gt;"○",0,20)+IF(K11&lt;&gt;"○",0,25)+IF(L11&lt;&gt;"○",0,40)</f>
        <v>0</v>
      </c>
      <c r="G11" s="342"/>
      <c r="H11" s="343"/>
      <c r="I11" s="343"/>
      <c r="J11" s="343"/>
      <c r="K11" s="343"/>
      <c r="L11" s="344"/>
      <c r="M11" s="102"/>
      <c r="N11" s="102"/>
      <c r="O11" s="100"/>
      <c r="P11" s="100"/>
      <c r="Q11" s="100"/>
      <c r="R11" s="100"/>
      <c r="S11" s="100">
        <v>1</v>
      </c>
      <c r="T11" s="101"/>
    </row>
    <row r="12" spans="1:20" ht="13.5">
      <c r="A12" s="470"/>
      <c r="B12" s="63" t="s">
        <v>46</v>
      </c>
      <c r="C12" s="109">
        <f t="shared" si="0"/>
        <v>0</v>
      </c>
      <c r="D12" s="318"/>
      <c r="E12" s="319"/>
      <c r="F12" s="336">
        <f t="shared" si="1"/>
        <v>0</v>
      </c>
      <c r="G12" s="342"/>
      <c r="H12" s="343"/>
      <c r="I12" s="343"/>
      <c r="J12" s="343"/>
      <c r="K12" s="343"/>
      <c r="L12" s="344"/>
      <c r="M12" s="102"/>
      <c r="N12" s="102"/>
      <c r="O12" s="100"/>
      <c r="P12" s="100"/>
      <c r="Q12" s="100"/>
      <c r="R12" s="100"/>
      <c r="S12" s="100"/>
      <c r="T12" s="101"/>
    </row>
    <row r="13" spans="1:20" ht="13.5">
      <c r="A13" s="470"/>
      <c r="B13" s="63" t="s">
        <v>47</v>
      </c>
      <c r="C13" s="109">
        <f t="shared" si="0"/>
        <v>1</v>
      </c>
      <c r="D13" s="318"/>
      <c r="E13" s="319"/>
      <c r="F13" s="336">
        <f t="shared" si="1"/>
        <v>0</v>
      </c>
      <c r="G13" s="342"/>
      <c r="H13" s="343"/>
      <c r="I13" s="343"/>
      <c r="J13" s="343"/>
      <c r="K13" s="343"/>
      <c r="L13" s="345"/>
      <c r="M13" s="102"/>
      <c r="N13" s="102"/>
      <c r="O13" s="100"/>
      <c r="P13" s="100"/>
      <c r="Q13" s="100"/>
      <c r="R13" s="100"/>
      <c r="S13" s="100"/>
      <c r="T13" s="101"/>
    </row>
    <row r="14" spans="1:20" ht="13.5">
      <c r="A14" s="470"/>
      <c r="B14" s="63" t="s">
        <v>48</v>
      </c>
      <c r="C14" s="109">
        <f t="shared" si="0"/>
        <v>208</v>
      </c>
      <c r="D14" s="318">
        <v>160</v>
      </c>
      <c r="E14" s="319">
        <v>80</v>
      </c>
      <c r="F14" s="336">
        <f t="shared" si="1"/>
        <v>0</v>
      </c>
      <c r="G14" s="342"/>
      <c r="H14" s="343"/>
      <c r="I14" s="343"/>
      <c r="J14" s="343"/>
      <c r="K14" s="343"/>
      <c r="L14" s="344"/>
      <c r="M14" s="102"/>
      <c r="N14" s="102"/>
      <c r="O14" s="100"/>
      <c r="P14" s="100"/>
      <c r="Q14" s="100"/>
      <c r="R14" s="100">
        <v>2</v>
      </c>
      <c r="S14" s="100"/>
      <c r="T14" s="101"/>
    </row>
    <row r="15" spans="1:20" ht="13.5">
      <c r="A15" s="470"/>
      <c r="B15" s="63" t="s">
        <v>49</v>
      </c>
      <c r="C15" s="109">
        <f t="shared" si="0"/>
        <v>0</v>
      </c>
      <c r="D15" s="318"/>
      <c r="E15" s="319"/>
      <c r="F15" s="336">
        <f t="shared" si="1"/>
        <v>0</v>
      </c>
      <c r="G15" s="342"/>
      <c r="H15" s="343"/>
      <c r="I15" s="343"/>
      <c r="J15" s="343"/>
      <c r="K15" s="343"/>
      <c r="L15" s="344"/>
      <c r="M15" s="102"/>
      <c r="N15" s="102"/>
      <c r="O15" s="100"/>
      <c r="P15" s="100"/>
      <c r="Q15" s="100"/>
      <c r="R15" s="100"/>
      <c r="S15" s="100"/>
      <c r="T15" s="101">
        <v>1</v>
      </c>
    </row>
    <row r="16" spans="1:20" ht="13.5">
      <c r="A16" s="470"/>
      <c r="B16" s="63" t="s">
        <v>45</v>
      </c>
      <c r="C16" s="109">
        <f t="shared" si="0"/>
        <v>78</v>
      </c>
      <c r="D16" s="318">
        <f>10+66</f>
        <v>76</v>
      </c>
      <c r="E16" s="319">
        <v>80</v>
      </c>
      <c r="F16" s="336">
        <f t="shared" si="1"/>
        <v>5</v>
      </c>
      <c r="G16" s="342" t="s">
        <v>78</v>
      </c>
      <c r="H16" s="343"/>
      <c r="I16" s="343"/>
      <c r="J16" s="343"/>
      <c r="K16" s="343"/>
      <c r="L16" s="344"/>
      <c r="M16" s="102"/>
      <c r="N16" s="102"/>
      <c r="O16" s="100"/>
      <c r="P16" s="100"/>
      <c r="Q16" s="100"/>
      <c r="R16" s="100"/>
      <c r="S16" s="100">
        <v>1</v>
      </c>
      <c r="T16" s="101"/>
    </row>
    <row r="17" spans="1:20" ht="14.25" thickBot="1">
      <c r="A17" s="470"/>
      <c r="B17" s="120" t="s">
        <v>51</v>
      </c>
      <c r="C17" s="121">
        <f t="shared" si="0"/>
        <v>0</v>
      </c>
      <c r="D17" s="320">
        <v>493</v>
      </c>
      <c r="E17" s="321">
        <v>493</v>
      </c>
      <c r="F17" s="337">
        <f t="shared" si="1"/>
        <v>0</v>
      </c>
      <c r="G17" s="346"/>
      <c r="H17" s="347"/>
      <c r="I17" s="347"/>
      <c r="J17" s="347"/>
      <c r="K17" s="347"/>
      <c r="L17" s="348"/>
      <c r="M17" s="124"/>
      <c r="N17" s="124"/>
      <c r="O17" s="122"/>
      <c r="P17" s="122"/>
      <c r="Q17" s="122"/>
      <c r="R17" s="122">
        <v>1</v>
      </c>
      <c r="S17" s="122"/>
      <c r="T17" s="123"/>
    </row>
    <row r="18" spans="1:20" ht="15" thickBot="1" thickTop="1">
      <c r="A18" s="470"/>
      <c r="B18" s="20" t="s">
        <v>12</v>
      </c>
      <c r="C18" s="55">
        <f>C19-(SUM(C5:C17))</f>
        <v>10988</v>
      </c>
      <c r="D18" s="316"/>
      <c r="E18" s="317"/>
      <c r="F18" s="58"/>
      <c r="G18" s="58"/>
      <c r="H18" s="58"/>
      <c r="I18" s="58"/>
      <c r="J18" s="58"/>
      <c r="K18" s="58"/>
      <c r="L18" s="59"/>
      <c r="M18" s="49">
        <f aca="true" t="shared" si="2" ref="M18:S18">M19-(SUM(M5:M17))</f>
        <v>9</v>
      </c>
      <c r="N18" s="50">
        <f t="shared" si="2"/>
        <v>3</v>
      </c>
      <c r="O18" s="50">
        <f t="shared" si="2"/>
        <v>5</v>
      </c>
      <c r="P18" s="50">
        <f t="shared" si="2"/>
        <v>2</v>
      </c>
      <c r="Q18" s="50">
        <f t="shared" si="2"/>
        <v>4</v>
      </c>
      <c r="R18" s="50">
        <f t="shared" si="2"/>
        <v>0</v>
      </c>
      <c r="S18" s="50">
        <f t="shared" si="2"/>
        <v>0</v>
      </c>
      <c r="T18" s="51">
        <f>(SUM(T5:T17))</f>
        <v>2</v>
      </c>
    </row>
    <row r="19" spans="1:20" ht="15" thickBot="1" thickTop="1">
      <c r="A19" s="315" t="s">
        <v>127</v>
      </c>
      <c r="B19" s="21" t="s">
        <v>13</v>
      </c>
      <c r="C19" s="56">
        <v>12000</v>
      </c>
      <c r="D19" s="60"/>
      <c r="E19" s="61"/>
      <c r="F19" s="61"/>
      <c r="G19" s="61"/>
      <c r="H19" s="61"/>
      <c r="I19" s="61"/>
      <c r="J19" s="61"/>
      <c r="K19" s="61"/>
      <c r="L19" s="62"/>
      <c r="M19" s="52">
        <v>9</v>
      </c>
      <c r="N19" s="52">
        <v>3</v>
      </c>
      <c r="O19" s="53">
        <v>5</v>
      </c>
      <c r="P19" s="53">
        <v>2</v>
      </c>
      <c r="Q19" s="53">
        <v>4</v>
      </c>
      <c r="R19" s="53">
        <v>3</v>
      </c>
      <c r="S19" s="53">
        <v>2</v>
      </c>
      <c r="T19" s="54">
        <v>6</v>
      </c>
    </row>
    <row r="20" spans="1:5" ht="13.5">
      <c r="A20" s="314" t="s">
        <v>126</v>
      </c>
      <c r="C20" s="19"/>
      <c r="D20" s="19"/>
      <c r="E20" s="19"/>
    </row>
    <row r="21" spans="1:5" ht="14.25" thickBot="1">
      <c r="A21" s="470" t="s">
        <v>129</v>
      </c>
      <c r="B21" s="289">
        <v>6</v>
      </c>
      <c r="C21" s="471">
        <f>IF(B21=B40,C40+1,1)</f>
        <v>2</v>
      </c>
      <c r="D21" s="471"/>
      <c r="E21" s="245"/>
    </row>
    <row r="22" spans="1:20" ht="13.5">
      <c r="A22" s="470"/>
      <c r="B22" s="472" t="s">
        <v>6</v>
      </c>
      <c r="C22" s="472" t="s">
        <v>1</v>
      </c>
      <c r="D22" s="467" t="s">
        <v>23</v>
      </c>
      <c r="E22" s="465" t="s">
        <v>29</v>
      </c>
      <c r="F22" s="467" t="s">
        <v>15</v>
      </c>
      <c r="G22" s="468"/>
      <c r="H22" s="468"/>
      <c r="I22" s="468"/>
      <c r="J22" s="468"/>
      <c r="K22" s="468"/>
      <c r="L22" s="465"/>
      <c r="M22" s="469" t="s">
        <v>14</v>
      </c>
      <c r="N22" s="469"/>
      <c r="O22" s="468"/>
      <c r="P22" s="468"/>
      <c r="Q22" s="468"/>
      <c r="R22" s="468"/>
      <c r="S22" s="468"/>
      <c r="T22" s="465"/>
    </row>
    <row r="23" spans="1:20" ht="14.25" thickBot="1">
      <c r="A23" s="470"/>
      <c r="B23" s="473"/>
      <c r="C23" s="473"/>
      <c r="D23" s="474"/>
      <c r="E23" s="466"/>
      <c r="F23" s="115" t="s">
        <v>16</v>
      </c>
      <c r="G23" s="46" t="s">
        <v>115</v>
      </c>
      <c r="H23" s="40" t="s">
        <v>119</v>
      </c>
      <c r="I23" s="40" t="s">
        <v>123</v>
      </c>
      <c r="J23" s="40" t="s">
        <v>130</v>
      </c>
      <c r="K23" s="164" t="s">
        <v>124</v>
      </c>
      <c r="L23" s="41" t="s">
        <v>125</v>
      </c>
      <c r="M23" s="46" t="s">
        <v>7</v>
      </c>
      <c r="N23" s="46" t="s">
        <v>53</v>
      </c>
      <c r="O23" s="40" t="s">
        <v>21</v>
      </c>
      <c r="P23" s="40" t="s">
        <v>52</v>
      </c>
      <c r="Q23" s="40" t="s">
        <v>8</v>
      </c>
      <c r="R23" s="47" t="s">
        <v>9</v>
      </c>
      <c r="S23" s="47" t="s">
        <v>10</v>
      </c>
      <c r="T23" s="48" t="s">
        <v>11</v>
      </c>
    </row>
    <row r="24" spans="1:20" ht="13.5">
      <c r="A24" s="470"/>
      <c r="B24" s="110" t="s">
        <v>39</v>
      </c>
      <c r="C24" s="111">
        <f>C43+D24-E24</f>
        <v>0</v>
      </c>
      <c r="D24" s="297"/>
      <c r="E24" s="299"/>
      <c r="F24" s="331"/>
      <c r="G24" s="328"/>
      <c r="H24" s="281"/>
      <c r="I24" s="281"/>
      <c r="J24" s="281"/>
      <c r="K24" s="281"/>
      <c r="L24" s="282"/>
      <c r="M24" s="114"/>
      <c r="N24" s="114"/>
      <c r="O24" s="112"/>
      <c r="P24" s="112"/>
      <c r="Q24" s="281"/>
      <c r="R24" s="281"/>
      <c r="S24" s="281"/>
      <c r="T24" s="282"/>
    </row>
    <row r="25" spans="1:20" ht="13.5">
      <c r="A25" s="470"/>
      <c r="B25" s="63" t="s">
        <v>40</v>
      </c>
      <c r="C25" s="109">
        <f>C44+D25-E25</f>
        <v>0</v>
      </c>
      <c r="D25" s="318"/>
      <c r="E25" s="319"/>
      <c r="F25" s="332"/>
      <c r="G25" s="329"/>
      <c r="H25" s="284"/>
      <c r="I25" s="284"/>
      <c r="J25" s="284"/>
      <c r="K25" s="284"/>
      <c r="L25" s="285"/>
      <c r="M25" s="102"/>
      <c r="N25" s="102"/>
      <c r="O25" s="100"/>
      <c r="P25" s="284"/>
      <c r="Q25" s="284"/>
      <c r="R25" s="284"/>
      <c r="S25" s="284"/>
      <c r="T25" s="285"/>
    </row>
    <row r="26" spans="1:20" ht="13.5">
      <c r="A26" s="470"/>
      <c r="B26" s="63" t="s">
        <v>41</v>
      </c>
      <c r="C26" s="109">
        <f>C45+D26-E26</f>
        <v>0</v>
      </c>
      <c r="D26" s="318"/>
      <c r="E26" s="319"/>
      <c r="F26" s="332"/>
      <c r="G26" s="329"/>
      <c r="H26" s="284"/>
      <c r="I26" s="284"/>
      <c r="J26" s="284"/>
      <c r="K26" s="284"/>
      <c r="L26" s="285"/>
      <c r="M26" s="102"/>
      <c r="N26" s="102"/>
      <c r="O26" s="100"/>
      <c r="P26" s="284"/>
      <c r="Q26" s="284"/>
      <c r="R26" s="284"/>
      <c r="S26" s="284"/>
      <c r="T26" s="285"/>
    </row>
    <row r="27" spans="1:20" ht="13.5">
      <c r="A27" s="470"/>
      <c r="B27" s="63" t="s">
        <v>42</v>
      </c>
      <c r="C27" s="109">
        <f>C46+D27-E27</f>
        <v>0</v>
      </c>
      <c r="D27" s="318"/>
      <c r="E27" s="319"/>
      <c r="F27" s="332"/>
      <c r="G27" s="329"/>
      <c r="H27" s="284"/>
      <c r="I27" s="284"/>
      <c r="J27" s="284"/>
      <c r="K27" s="284"/>
      <c r="L27" s="285"/>
      <c r="M27" s="102"/>
      <c r="N27" s="102"/>
      <c r="O27" s="100"/>
      <c r="P27" s="100"/>
      <c r="Q27" s="100"/>
      <c r="R27" s="100"/>
      <c r="S27" s="284"/>
      <c r="T27" s="285"/>
    </row>
    <row r="28" spans="1:20" ht="14.25" thickBot="1">
      <c r="A28" s="470"/>
      <c r="B28" s="115" t="s">
        <v>43</v>
      </c>
      <c r="C28" s="116">
        <f>C47+D28-E28</f>
        <v>493</v>
      </c>
      <c r="D28" s="320">
        <v>493</v>
      </c>
      <c r="E28" s="321">
        <v>244</v>
      </c>
      <c r="F28" s="333"/>
      <c r="G28" s="330"/>
      <c r="H28" s="287"/>
      <c r="I28" s="287"/>
      <c r="J28" s="287"/>
      <c r="K28" s="287"/>
      <c r="L28" s="288"/>
      <c r="M28" s="119"/>
      <c r="N28" s="119"/>
      <c r="O28" s="117"/>
      <c r="P28" s="117"/>
      <c r="Q28" s="117"/>
      <c r="R28" s="117"/>
      <c r="S28" s="117"/>
      <c r="T28" s="118"/>
    </row>
    <row r="29" spans="1:20" ht="13.5">
      <c r="A29" s="470"/>
      <c r="B29" s="110" t="s">
        <v>54</v>
      </c>
      <c r="C29" s="111">
        <f aca="true" t="shared" si="3" ref="C29:C36">C48+D29-E29+F29</f>
        <v>0</v>
      </c>
      <c r="D29" s="322">
        <v>129</v>
      </c>
      <c r="E29" s="323">
        <v>1100</v>
      </c>
      <c r="F29" s="335">
        <f>IF(G29&lt;&gt;"○",0,5)+IF(H29&lt;&gt;"○",0,10)+IF(I29&lt;&gt;"○",0,15)+IF(J29&lt;&gt;"○",0,20)+IF(K29&lt;&gt;"○",0,25)+IF(L29&lt;&gt;"○",0,40)</f>
        <v>0</v>
      </c>
      <c r="G29" s="339"/>
      <c r="H29" s="340"/>
      <c r="I29" s="340"/>
      <c r="J29" s="340"/>
      <c r="K29" s="340"/>
      <c r="L29" s="341"/>
      <c r="M29" s="114"/>
      <c r="N29" s="114"/>
      <c r="O29" s="112"/>
      <c r="P29" s="112"/>
      <c r="Q29" s="112"/>
      <c r="R29" s="112"/>
      <c r="S29" s="112"/>
      <c r="T29" s="113">
        <v>1</v>
      </c>
    </row>
    <row r="30" spans="1:20" ht="13.5">
      <c r="A30" s="470"/>
      <c r="B30" s="63" t="s">
        <v>55</v>
      </c>
      <c r="C30" s="109">
        <f t="shared" si="3"/>
        <v>1</v>
      </c>
      <c r="D30" s="318">
        <f>720+1</f>
        <v>721</v>
      </c>
      <c r="E30" s="319">
        <f>80+752</f>
        <v>832</v>
      </c>
      <c r="F30" s="336">
        <f aca="true" t="shared" si="4" ref="F30:F36">IF(G30&lt;&gt;"○",0,5)+IF(H30&lt;&gt;"○",0,10)+IF(I30&lt;&gt;"○",0,15)+IF(J30&lt;&gt;"○",0,20)+IF(K30&lt;&gt;"○",0,25)+IF(L30&lt;&gt;"○",0,40)</f>
        <v>0</v>
      </c>
      <c r="G30" s="342"/>
      <c r="H30" s="343"/>
      <c r="I30" s="343"/>
      <c r="J30" s="343"/>
      <c r="K30" s="343"/>
      <c r="L30" s="344"/>
      <c r="M30" s="102"/>
      <c r="N30" s="102"/>
      <c r="O30" s="100"/>
      <c r="P30" s="100"/>
      <c r="Q30" s="100"/>
      <c r="R30" s="100"/>
      <c r="S30" s="100">
        <v>1</v>
      </c>
      <c r="T30" s="101"/>
    </row>
    <row r="31" spans="1:20" ht="13.5">
      <c r="A31" s="470"/>
      <c r="B31" s="63" t="s">
        <v>46</v>
      </c>
      <c r="C31" s="109">
        <f t="shared" si="3"/>
        <v>0</v>
      </c>
      <c r="D31" s="318"/>
      <c r="E31" s="319"/>
      <c r="F31" s="336">
        <f t="shared" si="4"/>
        <v>0</v>
      </c>
      <c r="G31" s="342"/>
      <c r="H31" s="343"/>
      <c r="I31" s="343"/>
      <c r="J31" s="343"/>
      <c r="K31" s="343"/>
      <c r="L31" s="344"/>
      <c r="M31" s="102"/>
      <c r="N31" s="102"/>
      <c r="O31" s="100"/>
      <c r="P31" s="100"/>
      <c r="Q31" s="100"/>
      <c r="R31" s="100"/>
      <c r="S31" s="100"/>
      <c r="T31" s="101"/>
    </row>
    <row r="32" spans="1:20" ht="13.5">
      <c r="A32" s="470"/>
      <c r="B32" s="63" t="s">
        <v>47</v>
      </c>
      <c r="C32" s="109">
        <f t="shared" si="3"/>
        <v>1</v>
      </c>
      <c r="D32" s="318">
        <v>752</v>
      </c>
      <c r="E32" s="319">
        <v>1100</v>
      </c>
      <c r="F32" s="336">
        <f t="shared" si="4"/>
        <v>0</v>
      </c>
      <c r="G32" s="342"/>
      <c r="H32" s="343"/>
      <c r="I32" s="343"/>
      <c r="J32" s="343"/>
      <c r="K32" s="343"/>
      <c r="L32" s="345"/>
      <c r="M32" s="102"/>
      <c r="N32" s="102"/>
      <c r="O32" s="100"/>
      <c r="P32" s="100"/>
      <c r="Q32" s="100"/>
      <c r="R32" s="100"/>
      <c r="S32" s="100"/>
      <c r="T32" s="101"/>
    </row>
    <row r="33" spans="1:20" ht="13.5">
      <c r="A33" s="470"/>
      <c r="B33" s="63" t="s">
        <v>48</v>
      </c>
      <c r="C33" s="109">
        <f t="shared" si="3"/>
        <v>128</v>
      </c>
      <c r="D33" s="318">
        <f>32*4</f>
        <v>128</v>
      </c>
      <c r="E33" s="319"/>
      <c r="F33" s="336">
        <f t="shared" si="4"/>
        <v>0</v>
      </c>
      <c r="G33" s="342"/>
      <c r="H33" s="343"/>
      <c r="I33" s="343"/>
      <c r="J33" s="343"/>
      <c r="K33" s="343"/>
      <c r="L33" s="344"/>
      <c r="M33" s="102"/>
      <c r="N33" s="102"/>
      <c r="O33" s="100"/>
      <c r="P33" s="100"/>
      <c r="Q33" s="100"/>
      <c r="R33" s="100">
        <v>2</v>
      </c>
      <c r="S33" s="100"/>
      <c r="T33" s="101"/>
    </row>
    <row r="34" spans="1:20" ht="13.5">
      <c r="A34" s="470"/>
      <c r="B34" s="63" t="s">
        <v>49</v>
      </c>
      <c r="C34" s="109">
        <f t="shared" si="3"/>
        <v>0</v>
      </c>
      <c r="D34" s="318"/>
      <c r="E34" s="319">
        <v>1</v>
      </c>
      <c r="F34" s="336">
        <f t="shared" si="4"/>
        <v>0</v>
      </c>
      <c r="G34" s="342"/>
      <c r="H34" s="343"/>
      <c r="I34" s="343"/>
      <c r="J34" s="343"/>
      <c r="K34" s="343"/>
      <c r="L34" s="344"/>
      <c r="M34" s="102"/>
      <c r="N34" s="102"/>
      <c r="O34" s="100"/>
      <c r="P34" s="100"/>
      <c r="Q34" s="100"/>
      <c r="R34" s="100"/>
      <c r="S34" s="100"/>
      <c r="T34" s="101">
        <v>1</v>
      </c>
    </row>
    <row r="35" spans="1:20" ht="13.5">
      <c r="A35" s="470"/>
      <c r="B35" s="63" t="s">
        <v>45</v>
      </c>
      <c r="C35" s="109">
        <f t="shared" si="3"/>
        <v>77</v>
      </c>
      <c r="D35" s="318">
        <f>10+62</f>
        <v>72</v>
      </c>
      <c r="E35" s="319"/>
      <c r="F35" s="336">
        <f t="shared" si="4"/>
        <v>5</v>
      </c>
      <c r="G35" s="342" t="s">
        <v>78</v>
      </c>
      <c r="H35" s="343"/>
      <c r="I35" s="343"/>
      <c r="J35" s="343"/>
      <c r="K35" s="343"/>
      <c r="L35" s="344"/>
      <c r="M35" s="102"/>
      <c r="N35" s="102"/>
      <c r="O35" s="100"/>
      <c r="P35" s="100"/>
      <c r="Q35" s="100"/>
      <c r="R35" s="100"/>
      <c r="S35" s="100">
        <v>1</v>
      </c>
      <c r="T35" s="101"/>
    </row>
    <row r="36" spans="1:20" ht="14.25" thickBot="1">
      <c r="A36" s="470"/>
      <c r="B36" s="120" t="s">
        <v>51</v>
      </c>
      <c r="C36" s="121">
        <f t="shared" si="3"/>
        <v>0</v>
      </c>
      <c r="D36" s="320">
        <v>244</v>
      </c>
      <c r="E36" s="321">
        <v>493</v>
      </c>
      <c r="F36" s="337">
        <f t="shared" si="4"/>
        <v>0</v>
      </c>
      <c r="G36" s="346"/>
      <c r="H36" s="347"/>
      <c r="I36" s="347"/>
      <c r="J36" s="347"/>
      <c r="K36" s="347"/>
      <c r="L36" s="348"/>
      <c r="M36" s="124"/>
      <c r="N36" s="124"/>
      <c r="O36" s="122"/>
      <c r="P36" s="122"/>
      <c r="Q36" s="122"/>
      <c r="R36" s="122">
        <v>1</v>
      </c>
      <c r="S36" s="122"/>
      <c r="T36" s="123"/>
    </row>
    <row r="37" spans="1:20" ht="15" thickBot="1" thickTop="1">
      <c r="A37" s="470"/>
      <c r="B37" s="20" t="s">
        <v>12</v>
      </c>
      <c r="C37" s="55">
        <f>C38-(SUM(C24:C36))</f>
        <v>11300</v>
      </c>
      <c r="D37" s="316"/>
      <c r="E37" s="317"/>
      <c r="F37" s="58"/>
      <c r="G37" s="58"/>
      <c r="H37" s="58"/>
      <c r="I37" s="58"/>
      <c r="J37" s="58"/>
      <c r="K37" s="58"/>
      <c r="L37" s="59"/>
      <c r="M37" s="49">
        <f aca="true" t="shared" si="5" ref="M37:S37">M38-(SUM(M24:M36))</f>
        <v>9</v>
      </c>
      <c r="N37" s="50">
        <f t="shared" si="5"/>
        <v>3</v>
      </c>
      <c r="O37" s="50">
        <f t="shared" si="5"/>
        <v>5</v>
      </c>
      <c r="P37" s="50">
        <f t="shared" si="5"/>
        <v>2</v>
      </c>
      <c r="Q37" s="50">
        <f t="shared" si="5"/>
        <v>4</v>
      </c>
      <c r="R37" s="50">
        <f t="shared" si="5"/>
        <v>0</v>
      </c>
      <c r="S37" s="50">
        <f t="shared" si="5"/>
        <v>0</v>
      </c>
      <c r="T37" s="51">
        <f>(SUM(T24:T36))</f>
        <v>2</v>
      </c>
    </row>
    <row r="38" spans="1:20" ht="15" thickBot="1" thickTop="1">
      <c r="A38" s="315" t="s">
        <v>127</v>
      </c>
      <c r="B38" s="21" t="s">
        <v>13</v>
      </c>
      <c r="C38" s="56">
        <v>12000</v>
      </c>
      <c r="D38" s="60"/>
      <c r="E38" s="61"/>
      <c r="F38" s="61"/>
      <c r="G38" s="61"/>
      <c r="H38" s="61"/>
      <c r="I38" s="61"/>
      <c r="J38" s="61"/>
      <c r="K38" s="61"/>
      <c r="L38" s="62"/>
      <c r="M38" s="52">
        <v>9</v>
      </c>
      <c r="N38" s="52">
        <v>3</v>
      </c>
      <c r="O38" s="53">
        <v>5</v>
      </c>
      <c r="P38" s="53">
        <v>2</v>
      </c>
      <c r="Q38" s="53">
        <v>4</v>
      </c>
      <c r="R38" s="53">
        <v>3</v>
      </c>
      <c r="S38" s="53">
        <v>2</v>
      </c>
      <c r="T38" s="54">
        <v>6</v>
      </c>
    </row>
    <row r="39" spans="1:5" ht="13.5">
      <c r="A39" s="314" t="s">
        <v>126</v>
      </c>
      <c r="C39" s="19"/>
      <c r="D39" s="19"/>
      <c r="E39" s="19"/>
    </row>
    <row r="40" spans="1:5" ht="14.25" thickBot="1">
      <c r="A40" s="470" t="s">
        <v>129</v>
      </c>
      <c r="B40" s="289">
        <v>6</v>
      </c>
      <c r="C40" s="471">
        <f>IF(B40=B59,C59+1,1)</f>
        <v>1</v>
      </c>
      <c r="D40" s="471"/>
      <c r="E40" s="245"/>
    </row>
    <row r="41" spans="1:20" ht="13.5">
      <c r="A41" s="470"/>
      <c r="B41" s="472" t="s">
        <v>6</v>
      </c>
      <c r="C41" s="472" t="s">
        <v>1</v>
      </c>
      <c r="D41" s="467" t="s">
        <v>23</v>
      </c>
      <c r="E41" s="465" t="s">
        <v>29</v>
      </c>
      <c r="F41" s="467" t="s">
        <v>15</v>
      </c>
      <c r="G41" s="468"/>
      <c r="H41" s="468"/>
      <c r="I41" s="468"/>
      <c r="J41" s="468"/>
      <c r="K41" s="468"/>
      <c r="L41" s="465"/>
      <c r="M41" s="469" t="s">
        <v>14</v>
      </c>
      <c r="N41" s="469"/>
      <c r="O41" s="468"/>
      <c r="P41" s="468"/>
      <c r="Q41" s="468"/>
      <c r="R41" s="468"/>
      <c r="S41" s="468"/>
      <c r="T41" s="465"/>
    </row>
    <row r="42" spans="1:20" ht="14.25" thickBot="1">
      <c r="A42" s="470"/>
      <c r="B42" s="473"/>
      <c r="C42" s="473"/>
      <c r="D42" s="474"/>
      <c r="E42" s="466"/>
      <c r="F42" s="115" t="s">
        <v>16</v>
      </c>
      <c r="G42" s="46" t="s">
        <v>115</v>
      </c>
      <c r="H42" s="40" t="s">
        <v>119</v>
      </c>
      <c r="I42" s="40" t="s">
        <v>123</v>
      </c>
      <c r="J42" s="40" t="s">
        <v>130</v>
      </c>
      <c r="K42" s="164" t="s">
        <v>124</v>
      </c>
      <c r="L42" s="41" t="s">
        <v>125</v>
      </c>
      <c r="M42" s="46" t="s">
        <v>7</v>
      </c>
      <c r="N42" s="46" t="s">
        <v>53</v>
      </c>
      <c r="O42" s="40" t="s">
        <v>21</v>
      </c>
      <c r="P42" s="40" t="s">
        <v>52</v>
      </c>
      <c r="Q42" s="40" t="s">
        <v>8</v>
      </c>
      <c r="R42" s="47" t="s">
        <v>9</v>
      </c>
      <c r="S42" s="47" t="s">
        <v>10</v>
      </c>
      <c r="T42" s="48" t="s">
        <v>11</v>
      </c>
    </row>
    <row r="43" spans="1:20" ht="13.5">
      <c r="A43" s="470"/>
      <c r="B43" s="110" t="s">
        <v>39</v>
      </c>
      <c r="C43" s="111">
        <f>C62+D43-E43</f>
        <v>0</v>
      </c>
      <c r="D43" s="297"/>
      <c r="E43" s="299"/>
      <c r="F43" s="331"/>
      <c r="G43" s="328"/>
      <c r="H43" s="281"/>
      <c r="I43" s="281"/>
      <c r="J43" s="281"/>
      <c r="K43" s="281"/>
      <c r="L43" s="282"/>
      <c r="M43" s="114"/>
      <c r="N43" s="114"/>
      <c r="O43" s="112"/>
      <c r="P43" s="112"/>
      <c r="Q43" s="281"/>
      <c r="R43" s="281"/>
      <c r="S43" s="281"/>
      <c r="T43" s="282"/>
    </row>
    <row r="44" spans="1:20" ht="13.5">
      <c r="A44" s="470"/>
      <c r="B44" s="63" t="s">
        <v>40</v>
      </c>
      <c r="C44" s="109">
        <f>C63+D44-E44</f>
        <v>0</v>
      </c>
      <c r="D44" s="318"/>
      <c r="E44" s="319"/>
      <c r="F44" s="332"/>
      <c r="G44" s="329"/>
      <c r="H44" s="284"/>
      <c r="I44" s="284"/>
      <c r="J44" s="284"/>
      <c r="K44" s="284"/>
      <c r="L44" s="285"/>
      <c r="M44" s="102"/>
      <c r="N44" s="102"/>
      <c r="O44" s="100"/>
      <c r="P44" s="284"/>
      <c r="Q44" s="284"/>
      <c r="R44" s="284"/>
      <c r="S44" s="284"/>
      <c r="T44" s="285"/>
    </row>
    <row r="45" spans="1:20" ht="13.5">
      <c r="A45" s="470"/>
      <c r="B45" s="63" t="s">
        <v>41</v>
      </c>
      <c r="C45" s="109">
        <f>C64+D45-E45</f>
        <v>0</v>
      </c>
      <c r="D45" s="318"/>
      <c r="E45" s="319"/>
      <c r="F45" s="332"/>
      <c r="G45" s="329"/>
      <c r="H45" s="284"/>
      <c r="I45" s="284"/>
      <c r="J45" s="284"/>
      <c r="K45" s="284"/>
      <c r="L45" s="285"/>
      <c r="M45" s="102"/>
      <c r="N45" s="102"/>
      <c r="O45" s="100"/>
      <c r="P45" s="284"/>
      <c r="Q45" s="284"/>
      <c r="R45" s="284"/>
      <c r="S45" s="284"/>
      <c r="T45" s="285"/>
    </row>
    <row r="46" spans="1:20" ht="13.5">
      <c r="A46" s="470"/>
      <c r="B46" s="63" t="s">
        <v>42</v>
      </c>
      <c r="C46" s="109">
        <f>C65+D46-E46</f>
        <v>0</v>
      </c>
      <c r="D46" s="318"/>
      <c r="E46" s="319"/>
      <c r="F46" s="332"/>
      <c r="G46" s="329"/>
      <c r="H46" s="284"/>
      <c r="I46" s="284"/>
      <c r="J46" s="284"/>
      <c r="K46" s="284"/>
      <c r="L46" s="285"/>
      <c r="M46" s="102"/>
      <c r="N46" s="102"/>
      <c r="O46" s="100"/>
      <c r="P46" s="100"/>
      <c r="Q46" s="100"/>
      <c r="R46" s="100"/>
      <c r="S46" s="284"/>
      <c r="T46" s="285"/>
    </row>
    <row r="47" spans="1:20" ht="14.25" thickBot="1">
      <c r="A47" s="470"/>
      <c r="B47" s="115" t="s">
        <v>43</v>
      </c>
      <c r="C47" s="116">
        <f>C66+D47-E47</f>
        <v>244</v>
      </c>
      <c r="D47" s="320">
        <v>60</v>
      </c>
      <c r="E47" s="321"/>
      <c r="F47" s="333"/>
      <c r="G47" s="330"/>
      <c r="H47" s="287"/>
      <c r="I47" s="287"/>
      <c r="J47" s="287"/>
      <c r="K47" s="287"/>
      <c r="L47" s="288"/>
      <c r="M47" s="119"/>
      <c r="N47" s="119"/>
      <c r="O47" s="117"/>
      <c r="P47" s="117"/>
      <c r="Q47" s="117"/>
      <c r="R47" s="117"/>
      <c r="S47" s="117"/>
      <c r="T47" s="118"/>
    </row>
    <row r="48" spans="1:20" ht="13.5">
      <c r="A48" s="470"/>
      <c r="B48" s="110" t="s">
        <v>54</v>
      </c>
      <c r="C48" s="111">
        <f aca="true" t="shared" si="6" ref="C48:C55">C67+D48-E48+F48</f>
        <v>971</v>
      </c>
      <c r="D48" s="322">
        <f>260+970</f>
        <v>1230</v>
      </c>
      <c r="E48" s="323">
        <v>480</v>
      </c>
      <c r="F48" s="335">
        <f>IF(G48&lt;&gt;"○",0,5)+IF(H48&lt;&gt;"○",0,10)+IF(I48&lt;&gt;"○",0,15)+IF(J48&lt;&gt;"○",0,20)+IF(K48&lt;&gt;"○",0,25)+IF(L48&lt;&gt;"○",0,40)</f>
        <v>0</v>
      </c>
      <c r="G48" s="339"/>
      <c r="H48" s="340"/>
      <c r="I48" s="340"/>
      <c r="J48" s="340"/>
      <c r="K48" s="340"/>
      <c r="L48" s="341"/>
      <c r="M48" s="114"/>
      <c r="N48" s="114"/>
      <c r="O48" s="112"/>
      <c r="P48" s="112"/>
      <c r="Q48" s="112"/>
      <c r="R48" s="112"/>
      <c r="S48" s="112"/>
      <c r="T48" s="113"/>
    </row>
    <row r="49" spans="1:20" ht="13.5">
      <c r="A49" s="470"/>
      <c r="B49" s="63" t="s">
        <v>55</v>
      </c>
      <c r="C49" s="109">
        <f t="shared" si="6"/>
        <v>112</v>
      </c>
      <c r="D49" s="318">
        <v>260</v>
      </c>
      <c r="E49" s="319">
        <v>800</v>
      </c>
      <c r="F49" s="336">
        <f aca="true" t="shared" si="7" ref="F49:F55">IF(G49&lt;&gt;"○",0,5)+IF(H49&lt;&gt;"○",0,10)+IF(I49&lt;&gt;"○",0,15)+IF(J49&lt;&gt;"○",0,20)+IF(K49&lt;&gt;"○",0,25)+IF(L49&lt;&gt;"○",0,40)</f>
        <v>0</v>
      </c>
      <c r="G49" s="342"/>
      <c r="H49" s="343"/>
      <c r="I49" s="343"/>
      <c r="J49" s="343"/>
      <c r="K49" s="343"/>
      <c r="L49" s="344"/>
      <c r="M49" s="102"/>
      <c r="N49" s="102"/>
      <c r="O49" s="100"/>
      <c r="P49" s="100"/>
      <c r="Q49" s="100"/>
      <c r="R49" s="100"/>
      <c r="S49" s="100"/>
      <c r="T49" s="101">
        <v>1</v>
      </c>
    </row>
    <row r="50" spans="1:20" ht="13.5">
      <c r="A50" s="470"/>
      <c r="B50" s="63" t="s">
        <v>46</v>
      </c>
      <c r="C50" s="109">
        <f t="shared" si="6"/>
        <v>0</v>
      </c>
      <c r="D50" s="318">
        <v>1</v>
      </c>
      <c r="E50" s="319">
        <v>1</v>
      </c>
      <c r="F50" s="336">
        <f t="shared" si="7"/>
        <v>0</v>
      </c>
      <c r="G50" s="342"/>
      <c r="H50" s="343"/>
      <c r="I50" s="343"/>
      <c r="J50" s="343"/>
      <c r="K50" s="343"/>
      <c r="L50" s="344"/>
      <c r="M50" s="102"/>
      <c r="N50" s="102"/>
      <c r="O50" s="100"/>
      <c r="P50" s="100"/>
      <c r="Q50" s="100"/>
      <c r="R50" s="100"/>
      <c r="S50" s="100"/>
      <c r="T50" s="101"/>
    </row>
    <row r="51" spans="1:20" ht="13.5">
      <c r="A51" s="470"/>
      <c r="B51" s="63" t="s">
        <v>47</v>
      </c>
      <c r="C51" s="109">
        <f t="shared" si="6"/>
        <v>349</v>
      </c>
      <c r="D51" s="318">
        <v>15</v>
      </c>
      <c r="E51" s="319">
        <v>2</v>
      </c>
      <c r="F51" s="336">
        <f t="shared" si="7"/>
        <v>0</v>
      </c>
      <c r="G51" s="342"/>
      <c r="H51" s="343"/>
      <c r="I51" s="343"/>
      <c r="J51" s="343"/>
      <c r="K51" s="343"/>
      <c r="L51" s="345"/>
      <c r="M51" s="102"/>
      <c r="N51" s="102"/>
      <c r="O51" s="100"/>
      <c r="P51" s="100"/>
      <c r="Q51" s="100"/>
      <c r="R51" s="100"/>
      <c r="S51" s="100">
        <v>1</v>
      </c>
      <c r="T51" s="101"/>
    </row>
    <row r="52" spans="1:20" ht="13.5">
      <c r="A52" s="470"/>
      <c r="B52" s="63" t="s">
        <v>48</v>
      </c>
      <c r="C52" s="109">
        <f t="shared" si="6"/>
        <v>0</v>
      </c>
      <c r="D52" s="318">
        <f>480+240</f>
        <v>720</v>
      </c>
      <c r="E52" s="319">
        <v>970</v>
      </c>
      <c r="F52" s="336">
        <f t="shared" si="7"/>
        <v>0</v>
      </c>
      <c r="G52" s="342"/>
      <c r="H52" s="343"/>
      <c r="I52" s="343"/>
      <c r="J52" s="343"/>
      <c r="K52" s="343"/>
      <c r="L52" s="344"/>
      <c r="M52" s="102"/>
      <c r="N52" s="102"/>
      <c r="O52" s="100"/>
      <c r="P52" s="100"/>
      <c r="Q52" s="100"/>
      <c r="R52" s="100">
        <v>2</v>
      </c>
      <c r="S52" s="100"/>
      <c r="T52" s="101"/>
    </row>
    <row r="53" spans="1:20" ht="13.5">
      <c r="A53" s="470"/>
      <c r="B53" s="63" t="s">
        <v>49</v>
      </c>
      <c r="C53" s="109">
        <f t="shared" si="6"/>
        <v>1</v>
      </c>
      <c r="D53" s="318">
        <f>473+1</f>
        <v>474</v>
      </c>
      <c r="E53" s="319">
        <v>630</v>
      </c>
      <c r="F53" s="336">
        <f t="shared" si="7"/>
        <v>0</v>
      </c>
      <c r="G53" s="342"/>
      <c r="H53" s="343"/>
      <c r="I53" s="343"/>
      <c r="J53" s="343"/>
      <c r="K53" s="343"/>
      <c r="L53" s="344"/>
      <c r="M53" s="102"/>
      <c r="N53" s="102"/>
      <c r="O53" s="100"/>
      <c r="P53" s="100"/>
      <c r="Q53" s="100"/>
      <c r="R53" s="100"/>
      <c r="S53" s="100"/>
      <c r="T53" s="101"/>
    </row>
    <row r="54" spans="1:20" ht="13.5">
      <c r="A54" s="470"/>
      <c r="B54" s="63" t="s">
        <v>45</v>
      </c>
      <c r="C54" s="109">
        <f t="shared" si="6"/>
        <v>0</v>
      </c>
      <c r="D54" s="318">
        <v>10</v>
      </c>
      <c r="E54" s="319">
        <v>15</v>
      </c>
      <c r="F54" s="336">
        <f t="shared" si="7"/>
        <v>5</v>
      </c>
      <c r="G54" s="342" t="s">
        <v>78</v>
      </c>
      <c r="H54" s="343"/>
      <c r="I54" s="343"/>
      <c r="J54" s="343"/>
      <c r="K54" s="343"/>
      <c r="L54" s="344"/>
      <c r="M54" s="102"/>
      <c r="N54" s="102"/>
      <c r="O54" s="100"/>
      <c r="P54" s="100"/>
      <c r="Q54" s="100"/>
      <c r="R54" s="100"/>
      <c r="S54" s="100">
        <v>1</v>
      </c>
      <c r="T54" s="101"/>
    </row>
    <row r="55" spans="1:20" ht="14.25" thickBot="1">
      <c r="A55" s="470"/>
      <c r="B55" s="120" t="s">
        <v>51</v>
      </c>
      <c r="C55" s="121">
        <f t="shared" si="6"/>
        <v>249</v>
      </c>
      <c r="D55" s="320"/>
      <c r="E55" s="321">
        <v>450</v>
      </c>
      <c r="F55" s="337">
        <f t="shared" si="7"/>
        <v>0</v>
      </c>
      <c r="G55" s="346"/>
      <c r="H55" s="347"/>
      <c r="I55" s="347"/>
      <c r="J55" s="347"/>
      <c r="K55" s="347"/>
      <c r="L55" s="348"/>
      <c r="M55" s="124"/>
      <c r="N55" s="124"/>
      <c r="O55" s="122"/>
      <c r="P55" s="122"/>
      <c r="Q55" s="122"/>
      <c r="R55" s="122">
        <v>1</v>
      </c>
      <c r="S55" s="122"/>
      <c r="T55" s="123"/>
    </row>
    <row r="56" spans="1:20" ht="15" thickBot="1" thickTop="1">
      <c r="A56" s="470"/>
      <c r="B56" s="20" t="s">
        <v>12</v>
      </c>
      <c r="C56" s="55">
        <f>C57-(SUM(C43:C55))</f>
        <v>10074</v>
      </c>
      <c r="D56" s="316"/>
      <c r="E56" s="317"/>
      <c r="F56" s="58"/>
      <c r="G56" s="58"/>
      <c r="H56" s="58"/>
      <c r="I56" s="58"/>
      <c r="J56" s="58"/>
      <c r="K56" s="58"/>
      <c r="L56" s="59"/>
      <c r="M56" s="49">
        <f aca="true" t="shared" si="8" ref="M56:S56">M57-(SUM(M43:M55))</f>
        <v>9</v>
      </c>
      <c r="N56" s="50">
        <f t="shared" si="8"/>
        <v>3</v>
      </c>
      <c r="O56" s="50">
        <f t="shared" si="8"/>
        <v>5</v>
      </c>
      <c r="P56" s="50">
        <f t="shared" si="8"/>
        <v>2</v>
      </c>
      <c r="Q56" s="50">
        <f t="shared" si="8"/>
        <v>4</v>
      </c>
      <c r="R56" s="50">
        <f t="shared" si="8"/>
        <v>0</v>
      </c>
      <c r="S56" s="50">
        <f t="shared" si="8"/>
        <v>0</v>
      </c>
      <c r="T56" s="51">
        <f>(SUM(T43:T55))</f>
        <v>1</v>
      </c>
    </row>
    <row r="57" spans="1:20" ht="15" thickBot="1" thickTop="1">
      <c r="A57" s="315" t="s">
        <v>127</v>
      </c>
      <c r="B57" s="21" t="s">
        <v>13</v>
      </c>
      <c r="C57" s="56">
        <v>12000</v>
      </c>
      <c r="D57" s="60"/>
      <c r="E57" s="61"/>
      <c r="F57" s="61"/>
      <c r="G57" s="61"/>
      <c r="H57" s="61"/>
      <c r="I57" s="61"/>
      <c r="J57" s="61"/>
      <c r="K57" s="61"/>
      <c r="L57" s="62"/>
      <c r="M57" s="52">
        <v>9</v>
      </c>
      <c r="N57" s="52">
        <v>3</v>
      </c>
      <c r="O57" s="53">
        <v>5</v>
      </c>
      <c r="P57" s="53">
        <v>2</v>
      </c>
      <c r="Q57" s="53">
        <v>4</v>
      </c>
      <c r="R57" s="53">
        <v>3</v>
      </c>
      <c r="S57" s="53">
        <v>2</v>
      </c>
      <c r="T57" s="54">
        <v>6</v>
      </c>
    </row>
    <row r="58" spans="1:5" ht="13.5">
      <c r="A58" s="314" t="s">
        <v>126</v>
      </c>
      <c r="C58" s="19"/>
      <c r="D58" s="19"/>
      <c r="E58" s="19"/>
    </row>
    <row r="59" spans="1:5" ht="14.25" thickBot="1">
      <c r="A59" s="470" t="s">
        <v>129</v>
      </c>
      <c r="B59" s="289">
        <v>5</v>
      </c>
      <c r="C59" s="471">
        <f>IF(B59=B78,C78+1,1)</f>
        <v>2</v>
      </c>
      <c r="D59" s="471"/>
      <c r="E59" s="245"/>
    </row>
    <row r="60" spans="1:20" ht="13.5">
      <c r="A60" s="470"/>
      <c r="B60" s="472" t="s">
        <v>6</v>
      </c>
      <c r="C60" s="472" t="s">
        <v>1</v>
      </c>
      <c r="D60" s="467" t="s">
        <v>23</v>
      </c>
      <c r="E60" s="465" t="s">
        <v>29</v>
      </c>
      <c r="F60" s="467" t="s">
        <v>15</v>
      </c>
      <c r="G60" s="468"/>
      <c r="H60" s="468"/>
      <c r="I60" s="468"/>
      <c r="J60" s="468"/>
      <c r="K60" s="468"/>
      <c r="L60" s="465"/>
      <c r="M60" s="469" t="s">
        <v>14</v>
      </c>
      <c r="N60" s="469"/>
      <c r="O60" s="468"/>
      <c r="P60" s="468"/>
      <c r="Q60" s="468"/>
      <c r="R60" s="468"/>
      <c r="S60" s="468"/>
      <c r="T60" s="465"/>
    </row>
    <row r="61" spans="1:20" ht="14.25" thickBot="1">
      <c r="A61" s="470"/>
      <c r="B61" s="473"/>
      <c r="C61" s="473"/>
      <c r="D61" s="474"/>
      <c r="E61" s="466"/>
      <c r="F61" s="115" t="s">
        <v>16</v>
      </c>
      <c r="G61" s="46" t="s">
        <v>115</v>
      </c>
      <c r="H61" s="40" t="s">
        <v>119</v>
      </c>
      <c r="I61" s="40" t="s">
        <v>123</v>
      </c>
      <c r="J61" s="40" t="s">
        <v>130</v>
      </c>
      <c r="K61" s="164" t="s">
        <v>124</v>
      </c>
      <c r="L61" s="41" t="s">
        <v>125</v>
      </c>
      <c r="M61" s="46" t="s">
        <v>7</v>
      </c>
      <c r="N61" s="46" t="s">
        <v>53</v>
      </c>
      <c r="O61" s="40" t="s">
        <v>21</v>
      </c>
      <c r="P61" s="40" t="s">
        <v>52</v>
      </c>
      <c r="Q61" s="40" t="s">
        <v>8</v>
      </c>
      <c r="R61" s="47" t="s">
        <v>9</v>
      </c>
      <c r="S61" s="47" t="s">
        <v>10</v>
      </c>
      <c r="T61" s="48" t="s">
        <v>11</v>
      </c>
    </row>
    <row r="62" spans="1:20" ht="13.5">
      <c r="A62" s="470"/>
      <c r="B62" s="110" t="s">
        <v>39</v>
      </c>
      <c r="C62" s="111">
        <f>C81+D62-E62</f>
        <v>0</v>
      </c>
      <c r="D62" s="297"/>
      <c r="E62" s="299"/>
      <c r="F62" s="331"/>
      <c r="G62" s="328"/>
      <c r="H62" s="281"/>
      <c r="I62" s="281"/>
      <c r="J62" s="281"/>
      <c r="K62" s="281"/>
      <c r="L62" s="282"/>
      <c r="M62" s="114"/>
      <c r="N62" s="114"/>
      <c r="O62" s="112"/>
      <c r="P62" s="112"/>
      <c r="Q62" s="281"/>
      <c r="R62" s="281"/>
      <c r="S62" s="281"/>
      <c r="T62" s="282"/>
    </row>
    <row r="63" spans="1:20" ht="13.5">
      <c r="A63" s="470"/>
      <c r="B63" s="63" t="s">
        <v>40</v>
      </c>
      <c r="C63" s="109">
        <f>C82+D63-E63</f>
        <v>0</v>
      </c>
      <c r="D63" s="318"/>
      <c r="E63" s="319"/>
      <c r="F63" s="332"/>
      <c r="G63" s="329"/>
      <c r="H63" s="284"/>
      <c r="I63" s="284"/>
      <c r="J63" s="284"/>
      <c r="K63" s="284"/>
      <c r="L63" s="285"/>
      <c r="M63" s="102"/>
      <c r="N63" s="102"/>
      <c r="O63" s="100"/>
      <c r="P63" s="284"/>
      <c r="Q63" s="284"/>
      <c r="R63" s="284"/>
      <c r="S63" s="284"/>
      <c r="T63" s="285"/>
    </row>
    <row r="64" spans="1:20" ht="13.5">
      <c r="A64" s="470"/>
      <c r="B64" s="63" t="s">
        <v>41</v>
      </c>
      <c r="C64" s="109">
        <f>C83+D64-E64</f>
        <v>0</v>
      </c>
      <c r="D64" s="318"/>
      <c r="E64" s="319"/>
      <c r="F64" s="332"/>
      <c r="G64" s="329"/>
      <c r="H64" s="284"/>
      <c r="I64" s="284"/>
      <c r="J64" s="284"/>
      <c r="K64" s="284"/>
      <c r="L64" s="285"/>
      <c r="M64" s="102"/>
      <c r="N64" s="102"/>
      <c r="O64" s="100"/>
      <c r="P64" s="284"/>
      <c r="Q64" s="284"/>
      <c r="R64" s="284"/>
      <c r="S64" s="284"/>
      <c r="T64" s="285"/>
    </row>
    <row r="65" spans="1:20" ht="13.5">
      <c r="A65" s="470"/>
      <c r="B65" s="63" t="s">
        <v>42</v>
      </c>
      <c r="C65" s="109">
        <f>C84+D65-E65</f>
        <v>0</v>
      </c>
      <c r="D65" s="318">
        <f>299+1</f>
        <v>300</v>
      </c>
      <c r="E65" s="319">
        <f>300+1</f>
        <v>301</v>
      </c>
      <c r="F65" s="332"/>
      <c r="G65" s="329"/>
      <c r="H65" s="284"/>
      <c r="I65" s="284"/>
      <c r="J65" s="284"/>
      <c r="K65" s="284"/>
      <c r="L65" s="285"/>
      <c r="M65" s="102"/>
      <c r="N65" s="102"/>
      <c r="O65" s="100"/>
      <c r="P65" s="100"/>
      <c r="Q65" s="100"/>
      <c r="R65" s="100"/>
      <c r="S65" s="284"/>
      <c r="T65" s="285"/>
    </row>
    <row r="66" spans="1:20" ht="14.25" thickBot="1">
      <c r="A66" s="470"/>
      <c r="B66" s="115" t="s">
        <v>43</v>
      </c>
      <c r="C66" s="116">
        <f>C85+D66-E66</f>
        <v>184</v>
      </c>
      <c r="D66" s="320">
        <v>35</v>
      </c>
      <c r="E66" s="321"/>
      <c r="F66" s="333"/>
      <c r="G66" s="330"/>
      <c r="H66" s="287"/>
      <c r="I66" s="287"/>
      <c r="J66" s="287"/>
      <c r="K66" s="287"/>
      <c r="L66" s="288"/>
      <c r="M66" s="119"/>
      <c r="N66" s="119"/>
      <c r="O66" s="117"/>
      <c r="P66" s="117"/>
      <c r="Q66" s="117">
        <v>1</v>
      </c>
      <c r="R66" s="117"/>
      <c r="S66" s="117"/>
      <c r="T66" s="118"/>
    </row>
    <row r="67" spans="1:20" ht="13.5">
      <c r="A67" s="470"/>
      <c r="B67" s="110" t="s">
        <v>54</v>
      </c>
      <c r="C67" s="111">
        <f aca="true" t="shared" si="9" ref="C67:C74">C86+D67-E67+F67</f>
        <v>221</v>
      </c>
      <c r="D67" s="322">
        <f>14+1</f>
        <v>15</v>
      </c>
      <c r="E67" s="323">
        <f>80+100+450</f>
        <v>630</v>
      </c>
      <c r="F67" s="335">
        <f>IF(G67&lt;&gt;"○",0,5)+IF(H67&lt;&gt;"○",0,10)+IF(I67&lt;&gt;"○",0,15)+IF(J67&lt;&gt;"○",0,20)+IF(K67&lt;&gt;"○",0,25)+IF(L67&lt;&gt;"○",0,40)</f>
        <v>0</v>
      </c>
      <c r="G67" s="339"/>
      <c r="H67" s="340"/>
      <c r="I67" s="340"/>
      <c r="J67" s="340"/>
      <c r="K67" s="340"/>
      <c r="L67" s="341"/>
      <c r="M67" s="114"/>
      <c r="N67" s="114"/>
      <c r="O67" s="112"/>
      <c r="P67" s="112"/>
      <c r="Q67" s="112"/>
      <c r="R67" s="112">
        <v>1</v>
      </c>
      <c r="S67" s="112"/>
      <c r="T67" s="113"/>
    </row>
    <row r="68" spans="1:20" ht="13.5">
      <c r="A68" s="470"/>
      <c r="B68" s="63" t="s">
        <v>55</v>
      </c>
      <c r="C68" s="109">
        <f t="shared" si="9"/>
        <v>652</v>
      </c>
      <c r="D68" s="318">
        <f>130+234+247</f>
        <v>611</v>
      </c>
      <c r="E68" s="319">
        <f>40+450</f>
        <v>490</v>
      </c>
      <c r="F68" s="336">
        <f aca="true" t="shared" si="10" ref="F68:F74">IF(G68&lt;&gt;"○",0,5)+IF(H68&lt;&gt;"○",0,10)+IF(I68&lt;&gt;"○",0,15)+IF(J68&lt;&gt;"○",0,20)+IF(K68&lt;&gt;"○",0,25)+IF(L68&lt;&gt;"○",0,40)</f>
        <v>5</v>
      </c>
      <c r="G68" s="342" t="s">
        <v>78</v>
      </c>
      <c r="H68" s="343"/>
      <c r="I68" s="343"/>
      <c r="J68" s="343"/>
      <c r="K68" s="343"/>
      <c r="L68" s="344"/>
      <c r="M68" s="102"/>
      <c r="N68" s="102"/>
      <c r="O68" s="100"/>
      <c r="P68" s="100"/>
      <c r="Q68" s="100"/>
      <c r="R68" s="100">
        <v>1</v>
      </c>
      <c r="S68" s="100"/>
      <c r="T68" s="101"/>
    </row>
    <row r="69" spans="1:20" ht="13.5">
      <c r="A69" s="470"/>
      <c r="B69" s="63" t="s">
        <v>46</v>
      </c>
      <c r="C69" s="109">
        <f t="shared" si="9"/>
        <v>0</v>
      </c>
      <c r="D69" s="318"/>
      <c r="E69" s="319">
        <f>630+247</f>
        <v>877</v>
      </c>
      <c r="F69" s="336">
        <f t="shared" si="10"/>
        <v>20</v>
      </c>
      <c r="G69" s="342"/>
      <c r="H69" s="343"/>
      <c r="I69" s="343"/>
      <c r="J69" s="343" t="s">
        <v>207</v>
      </c>
      <c r="K69" s="343"/>
      <c r="L69" s="344"/>
      <c r="M69" s="102"/>
      <c r="N69" s="102"/>
      <c r="O69" s="100"/>
      <c r="P69" s="100"/>
      <c r="Q69" s="100"/>
      <c r="R69" s="100"/>
      <c r="S69" s="100">
        <v>1</v>
      </c>
      <c r="T69" s="101"/>
    </row>
    <row r="70" spans="1:20" ht="13.5">
      <c r="A70" s="470"/>
      <c r="B70" s="63" t="s">
        <v>47</v>
      </c>
      <c r="C70" s="109">
        <f t="shared" si="9"/>
        <v>336</v>
      </c>
      <c r="D70" s="318">
        <v>310</v>
      </c>
      <c r="E70" s="319"/>
      <c r="F70" s="336">
        <f t="shared" si="10"/>
        <v>25</v>
      </c>
      <c r="G70" s="342"/>
      <c r="H70" s="343"/>
      <c r="I70" s="343"/>
      <c r="J70" s="343"/>
      <c r="K70" s="343" t="s">
        <v>207</v>
      </c>
      <c r="L70" s="345"/>
      <c r="M70" s="102"/>
      <c r="N70" s="102"/>
      <c r="O70" s="100"/>
      <c r="P70" s="100"/>
      <c r="Q70" s="100"/>
      <c r="R70" s="100"/>
      <c r="S70" s="100"/>
      <c r="T70" s="101"/>
    </row>
    <row r="71" spans="1:20" ht="13.5">
      <c r="A71" s="470"/>
      <c r="B71" s="63" t="s">
        <v>48</v>
      </c>
      <c r="C71" s="109">
        <f t="shared" si="9"/>
        <v>250</v>
      </c>
      <c r="D71" s="318"/>
      <c r="E71" s="319">
        <v>450</v>
      </c>
      <c r="F71" s="336">
        <f t="shared" si="10"/>
        <v>0</v>
      </c>
      <c r="G71" s="342"/>
      <c r="H71" s="343"/>
      <c r="I71" s="343"/>
      <c r="J71" s="343"/>
      <c r="K71" s="343"/>
      <c r="L71" s="344"/>
      <c r="M71" s="102"/>
      <c r="N71" s="102"/>
      <c r="O71" s="100"/>
      <c r="P71" s="100"/>
      <c r="Q71" s="100">
        <v>1</v>
      </c>
      <c r="R71" s="100">
        <v>1</v>
      </c>
      <c r="S71" s="100"/>
      <c r="T71" s="101"/>
    </row>
    <row r="72" spans="1:20" ht="13.5">
      <c r="A72" s="470"/>
      <c r="B72" s="63" t="s">
        <v>49</v>
      </c>
      <c r="C72" s="109">
        <f t="shared" si="9"/>
        <v>157</v>
      </c>
      <c r="D72" s="318">
        <f>16+155</f>
        <v>171</v>
      </c>
      <c r="E72" s="319">
        <f>80+234</f>
        <v>314</v>
      </c>
      <c r="F72" s="336">
        <f t="shared" si="10"/>
        <v>0</v>
      </c>
      <c r="G72" s="342"/>
      <c r="H72" s="343"/>
      <c r="I72" s="343"/>
      <c r="J72" s="343"/>
      <c r="K72" s="343"/>
      <c r="L72" s="344"/>
      <c r="M72" s="102"/>
      <c r="N72" s="102"/>
      <c r="O72" s="100"/>
      <c r="P72" s="100"/>
      <c r="Q72" s="100"/>
      <c r="R72" s="100"/>
      <c r="S72" s="100"/>
      <c r="T72" s="101"/>
    </row>
    <row r="73" spans="1:20" ht="13.5">
      <c r="A73" s="470"/>
      <c r="B73" s="63" t="s">
        <v>45</v>
      </c>
      <c r="C73" s="109">
        <f t="shared" si="9"/>
        <v>0</v>
      </c>
      <c r="D73" s="318">
        <v>130</v>
      </c>
      <c r="E73" s="319">
        <v>155</v>
      </c>
      <c r="F73" s="336">
        <f t="shared" si="10"/>
        <v>25</v>
      </c>
      <c r="G73" s="342"/>
      <c r="H73" s="343" t="s">
        <v>207</v>
      </c>
      <c r="I73" s="343" t="s">
        <v>207</v>
      </c>
      <c r="J73" s="343"/>
      <c r="K73" s="343"/>
      <c r="L73" s="344"/>
      <c r="M73" s="102"/>
      <c r="N73" s="102"/>
      <c r="O73" s="100"/>
      <c r="P73" s="100"/>
      <c r="Q73" s="100"/>
      <c r="R73" s="100"/>
      <c r="S73" s="100"/>
      <c r="T73" s="101"/>
    </row>
    <row r="74" spans="1:20" ht="14.25" thickBot="1">
      <c r="A74" s="470"/>
      <c r="B74" s="120" t="s">
        <v>51</v>
      </c>
      <c r="C74" s="121">
        <f t="shared" si="9"/>
        <v>699</v>
      </c>
      <c r="D74" s="320"/>
      <c r="E74" s="321">
        <v>1</v>
      </c>
      <c r="F74" s="337">
        <f t="shared" si="10"/>
        <v>0</v>
      </c>
      <c r="G74" s="346"/>
      <c r="H74" s="347"/>
      <c r="I74" s="347"/>
      <c r="J74" s="347"/>
      <c r="K74" s="347"/>
      <c r="L74" s="348"/>
      <c r="M74" s="124"/>
      <c r="N74" s="124"/>
      <c r="O74" s="122"/>
      <c r="P74" s="122"/>
      <c r="Q74" s="122">
        <v>2</v>
      </c>
      <c r="R74" s="122"/>
      <c r="S74" s="122"/>
      <c r="T74" s="123"/>
    </row>
    <row r="75" spans="1:20" ht="15" thickBot="1" thickTop="1">
      <c r="A75" s="470"/>
      <c r="B75" s="20" t="s">
        <v>12</v>
      </c>
      <c r="C75" s="55">
        <f>C76-(SUM(C62:C74))</f>
        <v>9501</v>
      </c>
      <c r="D75" s="316"/>
      <c r="E75" s="317"/>
      <c r="F75" s="58"/>
      <c r="G75" s="58"/>
      <c r="H75" s="58"/>
      <c r="I75" s="58"/>
      <c r="J75" s="58"/>
      <c r="K75" s="58"/>
      <c r="L75" s="59"/>
      <c r="M75" s="49">
        <f aca="true" t="shared" si="11" ref="M75:S75">M76-(SUM(M62:M74))</f>
        <v>9</v>
      </c>
      <c r="N75" s="50">
        <f t="shared" si="11"/>
        <v>3</v>
      </c>
      <c r="O75" s="50">
        <f t="shared" si="11"/>
        <v>5</v>
      </c>
      <c r="P75" s="50">
        <f t="shared" si="11"/>
        <v>2</v>
      </c>
      <c r="Q75" s="50">
        <f t="shared" si="11"/>
        <v>0</v>
      </c>
      <c r="R75" s="50">
        <f t="shared" si="11"/>
        <v>0</v>
      </c>
      <c r="S75" s="50">
        <f t="shared" si="11"/>
        <v>1</v>
      </c>
      <c r="T75" s="51">
        <f>(SUM(T62:T74))</f>
        <v>0</v>
      </c>
    </row>
    <row r="76" spans="1:20" ht="15" thickBot="1" thickTop="1">
      <c r="A76" s="315" t="s">
        <v>127</v>
      </c>
      <c r="B76" s="21" t="s">
        <v>13</v>
      </c>
      <c r="C76" s="56">
        <v>12000</v>
      </c>
      <c r="D76" s="60"/>
      <c r="E76" s="61"/>
      <c r="F76" s="61"/>
      <c r="G76" s="61"/>
      <c r="H76" s="61"/>
      <c r="I76" s="61"/>
      <c r="J76" s="61"/>
      <c r="K76" s="61"/>
      <c r="L76" s="62"/>
      <c r="M76" s="52">
        <v>9</v>
      </c>
      <c r="N76" s="52">
        <v>3</v>
      </c>
      <c r="O76" s="53">
        <v>5</v>
      </c>
      <c r="P76" s="53">
        <v>2</v>
      </c>
      <c r="Q76" s="53">
        <v>4</v>
      </c>
      <c r="R76" s="53">
        <v>3</v>
      </c>
      <c r="S76" s="53">
        <v>2</v>
      </c>
      <c r="T76" s="54">
        <v>6</v>
      </c>
    </row>
    <row r="77" spans="1:5" ht="13.5">
      <c r="A77" s="314" t="s">
        <v>126</v>
      </c>
      <c r="C77" s="19"/>
      <c r="D77" s="19"/>
      <c r="E77" s="19"/>
    </row>
    <row r="78" spans="1:5" ht="14.25" thickBot="1">
      <c r="A78" s="470" t="s">
        <v>129</v>
      </c>
      <c r="B78" s="289">
        <v>5</v>
      </c>
      <c r="C78" s="471">
        <f>IF(B78=B97,C97+1,1)</f>
        <v>1</v>
      </c>
      <c r="D78" s="471"/>
      <c r="E78" s="245"/>
    </row>
    <row r="79" spans="1:20" ht="13.5">
      <c r="A79" s="470"/>
      <c r="B79" s="472" t="s">
        <v>6</v>
      </c>
      <c r="C79" s="472" t="s">
        <v>1</v>
      </c>
      <c r="D79" s="467" t="s">
        <v>23</v>
      </c>
      <c r="E79" s="465" t="s">
        <v>29</v>
      </c>
      <c r="F79" s="467" t="s">
        <v>15</v>
      </c>
      <c r="G79" s="468"/>
      <c r="H79" s="468"/>
      <c r="I79" s="468"/>
      <c r="J79" s="468"/>
      <c r="K79" s="468"/>
      <c r="L79" s="465"/>
      <c r="M79" s="469" t="s">
        <v>14</v>
      </c>
      <c r="N79" s="469"/>
      <c r="O79" s="468"/>
      <c r="P79" s="468"/>
      <c r="Q79" s="468"/>
      <c r="R79" s="468"/>
      <c r="S79" s="468"/>
      <c r="T79" s="465"/>
    </row>
    <row r="80" spans="1:20" ht="14.25" thickBot="1">
      <c r="A80" s="470"/>
      <c r="B80" s="473"/>
      <c r="C80" s="473"/>
      <c r="D80" s="474"/>
      <c r="E80" s="466"/>
      <c r="F80" s="115" t="s">
        <v>16</v>
      </c>
      <c r="G80" s="46" t="s">
        <v>115</v>
      </c>
      <c r="H80" s="40" t="s">
        <v>119</v>
      </c>
      <c r="I80" s="40" t="s">
        <v>123</v>
      </c>
      <c r="J80" s="40" t="s">
        <v>130</v>
      </c>
      <c r="K80" s="164" t="s">
        <v>124</v>
      </c>
      <c r="L80" s="41" t="s">
        <v>125</v>
      </c>
      <c r="M80" s="46" t="s">
        <v>7</v>
      </c>
      <c r="N80" s="46" t="s">
        <v>53</v>
      </c>
      <c r="O80" s="40" t="s">
        <v>21</v>
      </c>
      <c r="P80" s="40" t="s">
        <v>52</v>
      </c>
      <c r="Q80" s="40" t="s">
        <v>8</v>
      </c>
      <c r="R80" s="47" t="s">
        <v>9</v>
      </c>
      <c r="S80" s="47" t="s">
        <v>10</v>
      </c>
      <c r="T80" s="48" t="s">
        <v>11</v>
      </c>
    </row>
    <row r="81" spans="1:20" ht="13.5">
      <c r="A81" s="470"/>
      <c r="B81" s="110" t="s">
        <v>39</v>
      </c>
      <c r="C81" s="111">
        <f>C100+D81-E81</f>
        <v>0</v>
      </c>
      <c r="D81" s="297"/>
      <c r="E81" s="299"/>
      <c r="F81" s="331"/>
      <c r="G81" s="328"/>
      <c r="H81" s="281"/>
      <c r="I81" s="281"/>
      <c r="J81" s="281"/>
      <c r="K81" s="281"/>
      <c r="L81" s="282"/>
      <c r="M81" s="114"/>
      <c r="N81" s="114"/>
      <c r="O81" s="112"/>
      <c r="P81" s="112"/>
      <c r="Q81" s="281"/>
      <c r="R81" s="281"/>
      <c r="S81" s="281"/>
      <c r="T81" s="282"/>
    </row>
    <row r="82" spans="1:20" ht="13.5">
      <c r="A82" s="470"/>
      <c r="B82" s="63" t="s">
        <v>40</v>
      </c>
      <c r="C82" s="109">
        <f>C101+D82-E82</f>
        <v>0</v>
      </c>
      <c r="D82" s="318"/>
      <c r="E82" s="319"/>
      <c r="F82" s="332"/>
      <c r="G82" s="329"/>
      <c r="H82" s="284"/>
      <c r="I82" s="284"/>
      <c r="J82" s="284"/>
      <c r="K82" s="284"/>
      <c r="L82" s="285"/>
      <c r="M82" s="102"/>
      <c r="N82" s="102"/>
      <c r="O82" s="100"/>
      <c r="P82" s="284"/>
      <c r="Q82" s="284"/>
      <c r="R82" s="284"/>
      <c r="S82" s="284"/>
      <c r="T82" s="285"/>
    </row>
    <row r="83" spans="1:20" ht="13.5">
      <c r="A83" s="470"/>
      <c r="B83" s="63" t="s">
        <v>41</v>
      </c>
      <c r="C83" s="109">
        <f>C102+D83-E83</f>
        <v>0</v>
      </c>
      <c r="D83" s="318"/>
      <c r="E83" s="319"/>
      <c r="F83" s="332"/>
      <c r="G83" s="329"/>
      <c r="H83" s="284"/>
      <c r="I83" s="284"/>
      <c r="J83" s="284"/>
      <c r="K83" s="284"/>
      <c r="L83" s="285"/>
      <c r="M83" s="102"/>
      <c r="N83" s="102"/>
      <c r="O83" s="100"/>
      <c r="P83" s="284"/>
      <c r="Q83" s="284"/>
      <c r="R83" s="284"/>
      <c r="S83" s="284"/>
      <c r="T83" s="285"/>
    </row>
    <row r="84" spans="1:20" ht="13.5">
      <c r="A84" s="470"/>
      <c r="B84" s="63" t="s">
        <v>42</v>
      </c>
      <c r="C84" s="109">
        <f>C103+D84-E84</f>
        <v>1</v>
      </c>
      <c r="D84" s="318"/>
      <c r="E84" s="319">
        <v>448</v>
      </c>
      <c r="F84" s="332"/>
      <c r="G84" s="329"/>
      <c r="H84" s="284"/>
      <c r="I84" s="284"/>
      <c r="J84" s="284"/>
      <c r="K84" s="284"/>
      <c r="L84" s="285"/>
      <c r="M84" s="102"/>
      <c r="N84" s="102"/>
      <c r="O84" s="100"/>
      <c r="P84" s="100"/>
      <c r="Q84" s="100"/>
      <c r="R84" s="100"/>
      <c r="S84" s="284"/>
      <c r="T84" s="285"/>
    </row>
    <row r="85" spans="1:20" ht="14.25" thickBot="1">
      <c r="A85" s="470"/>
      <c r="B85" s="115" t="s">
        <v>43</v>
      </c>
      <c r="C85" s="116">
        <f>C104+D85-E85</f>
        <v>149</v>
      </c>
      <c r="D85" s="320">
        <v>448</v>
      </c>
      <c r="E85" s="321">
        <v>300</v>
      </c>
      <c r="F85" s="333"/>
      <c r="G85" s="330"/>
      <c r="H85" s="287"/>
      <c r="I85" s="287"/>
      <c r="J85" s="287"/>
      <c r="K85" s="287"/>
      <c r="L85" s="288"/>
      <c r="M85" s="119"/>
      <c r="N85" s="119"/>
      <c r="O85" s="117"/>
      <c r="P85" s="117"/>
      <c r="Q85" s="117">
        <v>1</v>
      </c>
      <c r="R85" s="117"/>
      <c r="S85" s="117"/>
      <c r="T85" s="118"/>
    </row>
    <row r="86" spans="1:20" ht="13.5">
      <c r="A86" s="470"/>
      <c r="B86" s="110" t="s">
        <v>54</v>
      </c>
      <c r="C86" s="111">
        <f aca="true" t="shared" si="12" ref="C86:C93">C105+D86-E86+F86</f>
        <v>836</v>
      </c>
      <c r="D86" s="322">
        <v>160</v>
      </c>
      <c r="E86" s="323"/>
      <c r="F86" s="335">
        <f>IF(G86&lt;&gt;"○",0,5)+IF(H86&lt;&gt;"○",0,10)+IF(I86&lt;&gt;"○",0,15)+IF(J86&lt;&gt;"○",0,20)+IF(K86&lt;&gt;"○",0,25)+IF(L86&lt;&gt;"○",0,40)</f>
        <v>0</v>
      </c>
      <c r="G86" s="339"/>
      <c r="H86" s="340"/>
      <c r="I86" s="340"/>
      <c r="J86" s="340"/>
      <c r="K86" s="340"/>
      <c r="L86" s="341"/>
      <c r="M86" s="114"/>
      <c r="N86" s="114"/>
      <c r="O86" s="112">
        <v>2</v>
      </c>
      <c r="P86" s="112"/>
      <c r="Q86" s="112"/>
      <c r="R86" s="112"/>
      <c r="S86" s="112"/>
      <c r="T86" s="113"/>
    </row>
    <row r="87" spans="1:20" ht="13.5">
      <c r="A87" s="470"/>
      <c r="B87" s="63" t="s">
        <v>55</v>
      </c>
      <c r="C87" s="109">
        <f t="shared" si="12"/>
        <v>526</v>
      </c>
      <c r="D87" s="318">
        <f>160+1</f>
        <v>161</v>
      </c>
      <c r="E87" s="319"/>
      <c r="F87" s="336">
        <f aca="true" t="shared" si="13" ref="F87:F93">IF(G87&lt;&gt;"○",0,5)+IF(H87&lt;&gt;"○",0,10)+IF(I87&lt;&gt;"○",0,15)+IF(J87&lt;&gt;"○",0,20)+IF(K87&lt;&gt;"○",0,25)+IF(L87&lt;&gt;"○",0,40)</f>
        <v>5</v>
      </c>
      <c r="G87" s="342" t="s">
        <v>78</v>
      </c>
      <c r="H87" s="343"/>
      <c r="I87" s="343"/>
      <c r="J87" s="343"/>
      <c r="K87" s="343"/>
      <c r="L87" s="344"/>
      <c r="M87" s="102"/>
      <c r="N87" s="102">
        <v>1</v>
      </c>
      <c r="O87" s="100">
        <v>2</v>
      </c>
      <c r="P87" s="100"/>
      <c r="Q87" s="100"/>
      <c r="R87" s="100"/>
      <c r="S87" s="100"/>
      <c r="T87" s="101"/>
    </row>
    <row r="88" spans="1:20" ht="13.5">
      <c r="A88" s="470"/>
      <c r="B88" s="63" t="s">
        <v>46</v>
      </c>
      <c r="C88" s="109">
        <f t="shared" si="12"/>
        <v>857</v>
      </c>
      <c r="D88" s="318">
        <f>90+747</f>
        <v>837</v>
      </c>
      <c r="E88" s="319"/>
      <c r="F88" s="336">
        <f t="shared" si="13"/>
        <v>20</v>
      </c>
      <c r="G88" s="342"/>
      <c r="H88" s="343"/>
      <c r="I88" s="343"/>
      <c r="J88" s="343" t="s">
        <v>207</v>
      </c>
      <c r="K88" s="343"/>
      <c r="L88" s="344"/>
      <c r="M88" s="102"/>
      <c r="N88" s="102">
        <v>1</v>
      </c>
      <c r="O88" s="100"/>
      <c r="P88" s="100"/>
      <c r="Q88" s="100"/>
      <c r="R88" s="100"/>
      <c r="S88" s="100"/>
      <c r="T88" s="101"/>
    </row>
    <row r="89" spans="1:20" ht="13.5">
      <c r="A89" s="470"/>
      <c r="B89" s="63" t="s">
        <v>47</v>
      </c>
      <c r="C89" s="109">
        <f t="shared" si="12"/>
        <v>1</v>
      </c>
      <c r="D89" s="318">
        <v>90</v>
      </c>
      <c r="E89" s="319">
        <v>160</v>
      </c>
      <c r="F89" s="336">
        <f t="shared" si="13"/>
        <v>25</v>
      </c>
      <c r="G89" s="342"/>
      <c r="H89" s="343"/>
      <c r="I89" s="343"/>
      <c r="J89" s="343"/>
      <c r="K89" s="343" t="s">
        <v>207</v>
      </c>
      <c r="L89" s="345"/>
      <c r="M89" s="102"/>
      <c r="N89" s="102"/>
      <c r="O89" s="100">
        <v>1</v>
      </c>
      <c r="P89" s="100"/>
      <c r="Q89" s="100"/>
      <c r="R89" s="100"/>
      <c r="S89" s="100"/>
      <c r="T89" s="101"/>
    </row>
    <row r="90" spans="1:20" ht="13.5">
      <c r="A90" s="470"/>
      <c r="B90" s="63" t="s">
        <v>48</v>
      </c>
      <c r="C90" s="109">
        <f t="shared" si="12"/>
        <v>700</v>
      </c>
      <c r="D90" s="318"/>
      <c r="E90" s="319">
        <v>300</v>
      </c>
      <c r="F90" s="336">
        <f t="shared" si="13"/>
        <v>0</v>
      </c>
      <c r="G90" s="342"/>
      <c r="H90" s="343"/>
      <c r="I90" s="343"/>
      <c r="J90" s="343"/>
      <c r="K90" s="343"/>
      <c r="L90" s="344"/>
      <c r="M90" s="102"/>
      <c r="N90" s="102"/>
      <c r="O90" s="100"/>
      <c r="P90" s="100"/>
      <c r="Q90" s="100">
        <v>1</v>
      </c>
      <c r="R90" s="100"/>
      <c r="S90" s="100"/>
      <c r="T90" s="101"/>
    </row>
    <row r="91" spans="1:20" ht="13.5">
      <c r="A91" s="470"/>
      <c r="B91" s="63" t="s">
        <v>49</v>
      </c>
      <c r="C91" s="109">
        <f t="shared" si="12"/>
        <v>300</v>
      </c>
      <c r="D91" s="318"/>
      <c r="E91" s="319">
        <v>700</v>
      </c>
      <c r="F91" s="336">
        <f t="shared" si="13"/>
        <v>0</v>
      </c>
      <c r="G91" s="342"/>
      <c r="H91" s="343"/>
      <c r="I91" s="343"/>
      <c r="J91" s="343"/>
      <c r="K91" s="343"/>
      <c r="L91" s="344"/>
      <c r="M91" s="102"/>
      <c r="N91" s="102"/>
      <c r="O91" s="100"/>
      <c r="P91" s="100">
        <v>1</v>
      </c>
      <c r="Q91" s="100"/>
      <c r="R91" s="100"/>
      <c r="S91" s="100"/>
      <c r="T91" s="101"/>
    </row>
    <row r="92" spans="1:20" ht="13.5">
      <c r="A92" s="470"/>
      <c r="B92" s="63" t="s">
        <v>45</v>
      </c>
      <c r="C92" s="109">
        <f t="shared" si="12"/>
        <v>0</v>
      </c>
      <c r="D92" s="318">
        <f>700+10+12</f>
        <v>722</v>
      </c>
      <c r="E92" s="319">
        <v>747</v>
      </c>
      <c r="F92" s="336">
        <f t="shared" si="13"/>
        <v>25</v>
      </c>
      <c r="G92" s="342"/>
      <c r="H92" s="343" t="s">
        <v>207</v>
      </c>
      <c r="I92" s="343" t="s">
        <v>207</v>
      </c>
      <c r="J92" s="343"/>
      <c r="K92" s="343"/>
      <c r="L92" s="344"/>
      <c r="M92" s="102"/>
      <c r="N92" s="102">
        <v>1</v>
      </c>
      <c r="O92" s="100"/>
      <c r="P92" s="100">
        <v>1</v>
      </c>
      <c r="Q92" s="100"/>
      <c r="R92" s="100"/>
      <c r="S92" s="100"/>
      <c r="T92" s="101"/>
    </row>
    <row r="93" spans="1:20" ht="14.25" thickBot="1">
      <c r="A93" s="470"/>
      <c r="B93" s="120" t="s">
        <v>51</v>
      </c>
      <c r="C93" s="121">
        <f t="shared" si="12"/>
        <v>700</v>
      </c>
      <c r="D93" s="320"/>
      <c r="E93" s="321">
        <v>300</v>
      </c>
      <c r="F93" s="337">
        <f t="shared" si="13"/>
        <v>0</v>
      </c>
      <c r="G93" s="346"/>
      <c r="H93" s="347"/>
      <c r="I93" s="347"/>
      <c r="J93" s="347"/>
      <c r="K93" s="347"/>
      <c r="L93" s="348"/>
      <c r="M93" s="124"/>
      <c r="N93" s="124"/>
      <c r="O93" s="122"/>
      <c r="P93" s="122"/>
      <c r="Q93" s="122">
        <v>1</v>
      </c>
      <c r="R93" s="122"/>
      <c r="S93" s="122"/>
      <c r="T93" s="123"/>
    </row>
    <row r="94" spans="1:20" ht="15" thickBot="1" thickTop="1">
      <c r="A94" s="470"/>
      <c r="B94" s="20" t="s">
        <v>12</v>
      </c>
      <c r="C94" s="55">
        <f>C95-(SUM(C81:C93))</f>
        <v>7930</v>
      </c>
      <c r="D94" s="316"/>
      <c r="E94" s="317"/>
      <c r="F94" s="58"/>
      <c r="G94" s="58"/>
      <c r="H94" s="58"/>
      <c r="I94" s="58"/>
      <c r="J94" s="58"/>
      <c r="K94" s="58"/>
      <c r="L94" s="59"/>
      <c r="M94" s="49">
        <f aca="true" t="shared" si="14" ref="M94:S94">M95-(SUM(M81:M93))</f>
        <v>9</v>
      </c>
      <c r="N94" s="50">
        <f t="shared" si="14"/>
        <v>0</v>
      </c>
      <c r="O94" s="50">
        <f t="shared" si="14"/>
        <v>0</v>
      </c>
      <c r="P94" s="50">
        <f t="shared" si="14"/>
        <v>0</v>
      </c>
      <c r="Q94" s="50">
        <f t="shared" si="14"/>
        <v>1</v>
      </c>
      <c r="R94" s="50">
        <f t="shared" si="14"/>
        <v>3</v>
      </c>
      <c r="S94" s="50">
        <f t="shared" si="14"/>
        <v>2</v>
      </c>
      <c r="T94" s="51">
        <f>(SUM(T81:T93))</f>
        <v>0</v>
      </c>
    </row>
    <row r="95" spans="1:20" ht="15" thickBot="1" thickTop="1">
      <c r="A95" s="315" t="s">
        <v>127</v>
      </c>
      <c r="B95" s="21" t="s">
        <v>13</v>
      </c>
      <c r="C95" s="56">
        <v>12000</v>
      </c>
      <c r="D95" s="60"/>
      <c r="E95" s="61"/>
      <c r="F95" s="61"/>
      <c r="G95" s="61"/>
      <c r="H95" s="61"/>
      <c r="I95" s="61"/>
      <c r="J95" s="61"/>
      <c r="K95" s="61"/>
      <c r="L95" s="62"/>
      <c r="M95" s="52">
        <v>9</v>
      </c>
      <c r="N95" s="52">
        <v>3</v>
      </c>
      <c r="O95" s="53">
        <v>5</v>
      </c>
      <c r="P95" s="53">
        <v>2</v>
      </c>
      <c r="Q95" s="53">
        <v>4</v>
      </c>
      <c r="R95" s="53">
        <v>3</v>
      </c>
      <c r="S95" s="53">
        <v>2</v>
      </c>
      <c r="T95" s="54">
        <v>6</v>
      </c>
    </row>
    <row r="96" spans="1:5" ht="13.5">
      <c r="A96" s="314" t="s">
        <v>126</v>
      </c>
      <c r="C96" s="19"/>
      <c r="D96" s="19"/>
      <c r="E96" s="19"/>
    </row>
    <row r="97" spans="1:5" ht="14.25" thickBot="1">
      <c r="A97" s="470" t="s">
        <v>129</v>
      </c>
      <c r="B97" s="289">
        <v>4</v>
      </c>
      <c r="C97" s="471">
        <f>IF(B97=B116,C116+1,1)</f>
        <v>1</v>
      </c>
      <c r="D97" s="471"/>
      <c r="E97" s="245"/>
    </row>
    <row r="98" spans="1:20" ht="13.5">
      <c r="A98" s="470"/>
      <c r="B98" s="472" t="s">
        <v>6</v>
      </c>
      <c r="C98" s="472" t="s">
        <v>1</v>
      </c>
      <c r="D98" s="467" t="s">
        <v>23</v>
      </c>
      <c r="E98" s="465" t="s">
        <v>29</v>
      </c>
      <c r="F98" s="467" t="s">
        <v>15</v>
      </c>
      <c r="G98" s="468"/>
      <c r="H98" s="468"/>
      <c r="I98" s="468"/>
      <c r="J98" s="468"/>
      <c r="K98" s="468"/>
      <c r="L98" s="465"/>
      <c r="M98" s="469" t="s">
        <v>14</v>
      </c>
      <c r="N98" s="469"/>
      <c r="O98" s="468"/>
      <c r="P98" s="468"/>
      <c r="Q98" s="468"/>
      <c r="R98" s="468"/>
      <c r="S98" s="468"/>
      <c r="T98" s="465"/>
    </row>
    <row r="99" spans="1:20" ht="14.25" thickBot="1">
      <c r="A99" s="470"/>
      <c r="B99" s="473"/>
      <c r="C99" s="473"/>
      <c r="D99" s="474"/>
      <c r="E99" s="466"/>
      <c r="F99" s="115" t="s">
        <v>16</v>
      </c>
      <c r="G99" s="46" t="s">
        <v>115</v>
      </c>
      <c r="H99" s="40" t="s">
        <v>119</v>
      </c>
      <c r="I99" s="40" t="s">
        <v>123</v>
      </c>
      <c r="J99" s="40" t="s">
        <v>130</v>
      </c>
      <c r="K99" s="164" t="s">
        <v>124</v>
      </c>
      <c r="L99" s="41" t="s">
        <v>125</v>
      </c>
      <c r="M99" s="46" t="s">
        <v>7</v>
      </c>
      <c r="N99" s="46" t="s">
        <v>53</v>
      </c>
      <c r="O99" s="40" t="s">
        <v>21</v>
      </c>
      <c r="P99" s="40" t="s">
        <v>52</v>
      </c>
      <c r="Q99" s="40" t="s">
        <v>8</v>
      </c>
      <c r="R99" s="47" t="s">
        <v>9</v>
      </c>
      <c r="S99" s="47" t="s">
        <v>10</v>
      </c>
      <c r="T99" s="48" t="s">
        <v>11</v>
      </c>
    </row>
    <row r="100" spans="1:20" ht="13.5">
      <c r="A100" s="470"/>
      <c r="B100" s="110" t="s">
        <v>39</v>
      </c>
      <c r="C100" s="111">
        <f>C119+D100-E100</f>
        <v>0</v>
      </c>
      <c r="D100" s="297">
        <f>30+240</f>
        <v>270</v>
      </c>
      <c r="E100" s="299">
        <v>350</v>
      </c>
      <c r="F100" s="331"/>
      <c r="G100" s="328"/>
      <c r="H100" s="281"/>
      <c r="I100" s="281"/>
      <c r="J100" s="281"/>
      <c r="K100" s="281"/>
      <c r="L100" s="282"/>
      <c r="M100" s="114"/>
      <c r="N100" s="114"/>
      <c r="O100" s="112"/>
      <c r="P100" s="112"/>
      <c r="Q100" s="281"/>
      <c r="R100" s="281"/>
      <c r="S100" s="281"/>
      <c r="T100" s="282"/>
    </row>
    <row r="101" spans="1:20" ht="13.5">
      <c r="A101" s="470"/>
      <c r="B101" s="63" t="s">
        <v>40</v>
      </c>
      <c r="C101" s="109">
        <f>C120+D101-E101</f>
        <v>0</v>
      </c>
      <c r="D101" s="318">
        <v>30</v>
      </c>
      <c r="E101" s="319">
        <v>230</v>
      </c>
      <c r="F101" s="332"/>
      <c r="G101" s="329"/>
      <c r="H101" s="284"/>
      <c r="I101" s="284"/>
      <c r="J101" s="284"/>
      <c r="K101" s="284"/>
      <c r="L101" s="285"/>
      <c r="M101" s="102"/>
      <c r="N101" s="102"/>
      <c r="O101" s="100"/>
      <c r="P101" s="284"/>
      <c r="Q101" s="284"/>
      <c r="R101" s="284"/>
      <c r="S101" s="284"/>
      <c r="T101" s="285"/>
    </row>
    <row r="102" spans="1:20" ht="13.5">
      <c r="A102" s="470"/>
      <c r="B102" s="63" t="s">
        <v>41</v>
      </c>
      <c r="C102" s="109">
        <f>C121+D102-E102</f>
        <v>0</v>
      </c>
      <c r="D102" s="318"/>
      <c r="E102" s="319">
        <f>720+79</f>
        <v>799</v>
      </c>
      <c r="F102" s="332"/>
      <c r="G102" s="329"/>
      <c r="H102" s="284"/>
      <c r="I102" s="284"/>
      <c r="J102" s="284"/>
      <c r="K102" s="284"/>
      <c r="L102" s="285"/>
      <c r="M102" s="102"/>
      <c r="N102" s="102"/>
      <c r="O102" s="100"/>
      <c r="P102" s="284"/>
      <c r="Q102" s="284"/>
      <c r="R102" s="284"/>
      <c r="S102" s="284"/>
      <c r="T102" s="285"/>
    </row>
    <row r="103" spans="1:20" ht="13.5">
      <c r="A103" s="470"/>
      <c r="B103" s="63" t="s">
        <v>42</v>
      </c>
      <c r="C103" s="109">
        <f>C122+D103-E103</f>
        <v>449</v>
      </c>
      <c r="D103" s="318">
        <f>30+199</f>
        <v>229</v>
      </c>
      <c r="E103" s="319"/>
      <c r="F103" s="332"/>
      <c r="G103" s="329"/>
      <c r="H103" s="284"/>
      <c r="I103" s="284"/>
      <c r="J103" s="284"/>
      <c r="K103" s="284"/>
      <c r="L103" s="285"/>
      <c r="M103" s="102"/>
      <c r="N103" s="102"/>
      <c r="O103" s="100"/>
      <c r="P103" s="100"/>
      <c r="Q103" s="100"/>
      <c r="R103" s="100"/>
      <c r="S103" s="284"/>
      <c r="T103" s="285"/>
    </row>
    <row r="104" spans="1:20" ht="14.25" thickBot="1">
      <c r="A104" s="470"/>
      <c r="B104" s="115" t="s">
        <v>43</v>
      </c>
      <c r="C104" s="116">
        <f>C123+D104-E104</f>
        <v>1</v>
      </c>
      <c r="D104" s="320"/>
      <c r="E104" s="321">
        <v>199</v>
      </c>
      <c r="F104" s="333"/>
      <c r="G104" s="330"/>
      <c r="H104" s="287"/>
      <c r="I104" s="287"/>
      <c r="J104" s="287"/>
      <c r="K104" s="287"/>
      <c r="L104" s="288"/>
      <c r="M104" s="119">
        <v>1</v>
      </c>
      <c r="N104" s="119"/>
      <c r="O104" s="117"/>
      <c r="P104" s="117"/>
      <c r="Q104" s="117"/>
      <c r="R104" s="117"/>
      <c r="S104" s="117"/>
      <c r="T104" s="118"/>
    </row>
    <row r="105" spans="1:20" ht="13.5">
      <c r="A105" s="470"/>
      <c r="B105" s="110" t="s">
        <v>54</v>
      </c>
      <c r="C105" s="111">
        <f aca="true" t="shared" si="15" ref="C105:C112">C124+D105-E105+F105</f>
        <v>676</v>
      </c>
      <c r="D105" s="322">
        <f>230+79+13+175</f>
        <v>497</v>
      </c>
      <c r="E105" s="323">
        <f>40+180+1</f>
        <v>221</v>
      </c>
      <c r="F105" s="335">
        <f>IF(G105&lt;&gt;"○",0,5)+IF(H105&lt;&gt;"○",0,10)+IF(I105&lt;&gt;"○",0,15)+IF(J105&lt;&gt;"○",0,20)+IF(K105&lt;&gt;"○",0,25)+IF(L105&lt;&gt;"○",0,40)</f>
        <v>0</v>
      </c>
      <c r="G105" s="339"/>
      <c r="H105" s="340"/>
      <c r="I105" s="340"/>
      <c r="J105" s="340"/>
      <c r="K105" s="340"/>
      <c r="L105" s="341"/>
      <c r="M105" s="114">
        <v>2</v>
      </c>
      <c r="N105" s="114"/>
      <c r="O105" s="112">
        <v>2</v>
      </c>
      <c r="P105" s="112"/>
      <c r="Q105" s="112"/>
      <c r="R105" s="112"/>
      <c r="S105" s="112"/>
      <c r="T105" s="113"/>
    </row>
    <row r="106" spans="1:20" ht="13.5">
      <c r="A106" s="470"/>
      <c r="B106" s="63" t="s">
        <v>55</v>
      </c>
      <c r="C106" s="109">
        <f t="shared" si="15"/>
        <v>360</v>
      </c>
      <c r="D106" s="318">
        <v>200</v>
      </c>
      <c r="E106" s="319">
        <v>840</v>
      </c>
      <c r="F106" s="336">
        <f aca="true" t="shared" si="16" ref="F106:F112">IF(G106&lt;&gt;"○",0,5)+IF(H106&lt;&gt;"○",0,10)+IF(I106&lt;&gt;"○",0,15)+IF(J106&lt;&gt;"○",0,20)+IF(K106&lt;&gt;"○",0,25)+IF(L106&lt;&gt;"○",0,40)</f>
        <v>0</v>
      </c>
      <c r="G106" s="342" t="s">
        <v>205</v>
      </c>
      <c r="H106" s="343"/>
      <c r="I106" s="343"/>
      <c r="J106" s="343"/>
      <c r="K106" s="343"/>
      <c r="L106" s="344"/>
      <c r="M106" s="102">
        <v>1</v>
      </c>
      <c r="N106" s="102">
        <v>2</v>
      </c>
      <c r="O106" s="100">
        <v>2</v>
      </c>
      <c r="P106" s="100"/>
      <c r="Q106" s="100"/>
      <c r="R106" s="100"/>
      <c r="S106" s="100"/>
      <c r="T106" s="101"/>
    </row>
    <row r="107" spans="1:20" ht="13.5">
      <c r="A107" s="470"/>
      <c r="B107" s="63" t="s">
        <v>46</v>
      </c>
      <c r="C107" s="109">
        <f t="shared" si="15"/>
        <v>0</v>
      </c>
      <c r="D107" s="318">
        <v>140</v>
      </c>
      <c r="E107" s="319">
        <f>220+220+220</f>
        <v>660</v>
      </c>
      <c r="F107" s="336">
        <f t="shared" si="16"/>
        <v>0</v>
      </c>
      <c r="G107" s="342"/>
      <c r="H107" s="343"/>
      <c r="I107" s="343"/>
      <c r="J107" s="343" t="s">
        <v>205</v>
      </c>
      <c r="K107" s="343"/>
      <c r="L107" s="344"/>
      <c r="M107" s="102">
        <v>3</v>
      </c>
      <c r="N107" s="102">
        <v>1</v>
      </c>
      <c r="O107" s="100"/>
      <c r="P107" s="100"/>
      <c r="Q107" s="100"/>
      <c r="R107" s="100"/>
      <c r="S107" s="100"/>
      <c r="T107" s="101"/>
    </row>
    <row r="108" spans="1:20" ht="13.5">
      <c r="A108" s="470"/>
      <c r="B108" s="63" t="s">
        <v>47</v>
      </c>
      <c r="C108" s="109">
        <f t="shared" si="15"/>
        <v>46</v>
      </c>
      <c r="D108" s="318">
        <f>720+44+1</f>
        <v>765</v>
      </c>
      <c r="E108" s="319">
        <f>40+360+320</f>
        <v>720</v>
      </c>
      <c r="F108" s="336">
        <f t="shared" si="16"/>
        <v>0</v>
      </c>
      <c r="G108" s="342"/>
      <c r="H108" s="343"/>
      <c r="I108" s="343"/>
      <c r="J108" s="343"/>
      <c r="K108" s="343" t="s">
        <v>205</v>
      </c>
      <c r="L108" s="345"/>
      <c r="M108" s="102">
        <v>2</v>
      </c>
      <c r="N108" s="102"/>
      <c r="O108" s="100">
        <v>1</v>
      </c>
      <c r="P108" s="100"/>
      <c r="Q108" s="100"/>
      <c r="R108" s="100"/>
      <c r="S108" s="100"/>
      <c r="T108" s="101"/>
    </row>
    <row r="109" spans="1:20" ht="13.5">
      <c r="A109" s="470"/>
      <c r="B109" s="63" t="s">
        <v>48</v>
      </c>
      <c r="C109" s="109">
        <f t="shared" si="15"/>
        <v>1000</v>
      </c>
      <c r="D109" s="318"/>
      <c r="E109" s="319"/>
      <c r="F109" s="336">
        <f t="shared" si="16"/>
        <v>0</v>
      </c>
      <c r="G109" s="342"/>
      <c r="H109" s="343"/>
      <c r="I109" s="343"/>
      <c r="J109" s="343"/>
      <c r="K109" s="343"/>
      <c r="L109" s="344"/>
      <c r="M109" s="102"/>
      <c r="N109" s="102"/>
      <c r="O109" s="100"/>
      <c r="P109" s="100"/>
      <c r="Q109" s="100"/>
      <c r="R109" s="100"/>
      <c r="S109" s="100"/>
      <c r="T109" s="101"/>
    </row>
    <row r="110" spans="1:20" ht="13.5">
      <c r="A110" s="470"/>
      <c r="B110" s="63" t="s">
        <v>49</v>
      </c>
      <c r="C110" s="109">
        <f t="shared" si="15"/>
        <v>1000</v>
      </c>
      <c r="D110" s="318"/>
      <c r="E110" s="319"/>
      <c r="F110" s="336">
        <f t="shared" si="16"/>
        <v>0</v>
      </c>
      <c r="G110" s="342"/>
      <c r="H110" s="343"/>
      <c r="I110" s="343"/>
      <c r="J110" s="343"/>
      <c r="K110" s="343"/>
      <c r="L110" s="344"/>
      <c r="M110" s="102"/>
      <c r="N110" s="102"/>
      <c r="O110" s="100"/>
      <c r="P110" s="100"/>
      <c r="Q110" s="100"/>
      <c r="R110" s="100"/>
      <c r="S110" s="100"/>
      <c r="T110" s="101"/>
    </row>
    <row r="111" spans="1:20" ht="13.5">
      <c r="A111" s="470"/>
      <c r="B111" s="63" t="s">
        <v>45</v>
      </c>
      <c r="C111" s="109">
        <f t="shared" si="15"/>
        <v>0</v>
      </c>
      <c r="D111" s="318">
        <v>10</v>
      </c>
      <c r="E111" s="319">
        <f>230*2+200</f>
        <v>660</v>
      </c>
      <c r="F111" s="336">
        <f t="shared" si="16"/>
        <v>0</v>
      </c>
      <c r="G111" s="342"/>
      <c r="H111" s="343" t="s">
        <v>205</v>
      </c>
      <c r="I111" s="343" t="s">
        <v>205</v>
      </c>
      <c r="J111" s="343"/>
      <c r="K111" s="343"/>
      <c r="L111" s="344"/>
      <c r="M111" s="102"/>
      <c r="N111" s="102"/>
      <c r="O111" s="100"/>
      <c r="P111" s="100">
        <v>2</v>
      </c>
      <c r="Q111" s="100"/>
      <c r="R111" s="100"/>
      <c r="S111" s="100"/>
      <c r="T111" s="101"/>
    </row>
    <row r="112" spans="1:20" ht="14.25" thickBot="1">
      <c r="A112" s="470"/>
      <c r="B112" s="120" t="s">
        <v>51</v>
      </c>
      <c r="C112" s="121">
        <f t="shared" si="15"/>
        <v>1000</v>
      </c>
      <c r="D112" s="320"/>
      <c r="E112" s="321"/>
      <c r="F112" s="337">
        <f t="shared" si="16"/>
        <v>0</v>
      </c>
      <c r="G112" s="346"/>
      <c r="H112" s="347"/>
      <c r="I112" s="347"/>
      <c r="J112" s="347"/>
      <c r="K112" s="347"/>
      <c r="L112" s="348"/>
      <c r="M112" s="124"/>
      <c r="N112" s="124"/>
      <c r="O112" s="122"/>
      <c r="P112" s="122"/>
      <c r="Q112" s="122"/>
      <c r="R112" s="122"/>
      <c r="S112" s="122"/>
      <c r="T112" s="123"/>
    </row>
    <row r="113" spans="1:20" ht="15" thickBot="1" thickTop="1">
      <c r="A113" s="470"/>
      <c r="B113" s="20" t="s">
        <v>12</v>
      </c>
      <c r="C113" s="55">
        <f>C114-(SUM(C100:C112))</f>
        <v>7468</v>
      </c>
      <c r="D113" s="316"/>
      <c r="E113" s="317"/>
      <c r="F113" s="58"/>
      <c r="G113" s="58"/>
      <c r="H113" s="58"/>
      <c r="I113" s="58"/>
      <c r="J113" s="58"/>
      <c r="K113" s="58"/>
      <c r="L113" s="59"/>
      <c r="M113" s="49">
        <f aca="true" t="shared" si="17" ref="M113:S113">M114-(SUM(M100:M112))</f>
        <v>0</v>
      </c>
      <c r="N113" s="50">
        <f t="shared" si="17"/>
        <v>0</v>
      </c>
      <c r="O113" s="50">
        <f t="shared" si="17"/>
        <v>0</v>
      </c>
      <c r="P113" s="50">
        <f t="shared" si="17"/>
        <v>0</v>
      </c>
      <c r="Q113" s="50">
        <f t="shared" si="17"/>
        <v>4</v>
      </c>
      <c r="R113" s="50">
        <f t="shared" si="17"/>
        <v>3</v>
      </c>
      <c r="S113" s="50">
        <f t="shared" si="17"/>
        <v>2</v>
      </c>
      <c r="T113" s="51">
        <f>(SUM(T100:T112))</f>
        <v>0</v>
      </c>
    </row>
    <row r="114" spans="1:20" ht="15" thickBot="1" thickTop="1">
      <c r="A114" s="315" t="s">
        <v>127</v>
      </c>
      <c r="B114" s="21" t="s">
        <v>13</v>
      </c>
      <c r="C114" s="56">
        <v>12000</v>
      </c>
      <c r="D114" s="60"/>
      <c r="E114" s="61"/>
      <c r="F114" s="61"/>
      <c r="G114" s="61"/>
      <c r="H114" s="61"/>
      <c r="I114" s="61"/>
      <c r="J114" s="61"/>
      <c r="K114" s="61"/>
      <c r="L114" s="62"/>
      <c r="M114" s="52">
        <v>9</v>
      </c>
      <c r="N114" s="52">
        <v>3</v>
      </c>
      <c r="O114" s="53">
        <v>5</v>
      </c>
      <c r="P114" s="53">
        <v>2</v>
      </c>
      <c r="Q114" s="53">
        <v>4</v>
      </c>
      <c r="R114" s="53">
        <v>3</v>
      </c>
      <c r="S114" s="53">
        <v>2</v>
      </c>
      <c r="T114" s="54">
        <v>6</v>
      </c>
    </row>
    <row r="115" spans="1:5" ht="13.5">
      <c r="A115" s="314" t="s">
        <v>126</v>
      </c>
      <c r="C115" s="19"/>
      <c r="D115" s="19"/>
      <c r="E115" s="19"/>
    </row>
    <row r="116" spans="1:5" ht="14.25" thickBot="1">
      <c r="A116" s="470" t="s">
        <v>129</v>
      </c>
      <c r="B116" s="289">
        <v>3</v>
      </c>
      <c r="C116" s="471">
        <f>IF(B116=B135,C135+1,1)</f>
        <v>1</v>
      </c>
      <c r="D116" s="471"/>
      <c r="E116" s="245"/>
    </row>
    <row r="117" spans="1:20" ht="13.5">
      <c r="A117" s="470"/>
      <c r="B117" s="472" t="s">
        <v>6</v>
      </c>
      <c r="C117" s="472" t="s">
        <v>1</v>
      </c>
      <c r="D117" s="467" t="s">
        <v>23</v>
      </c>
      <c r="E117" s="465" t="s">
        <v>29</v>
      </c>
      <c r="F117" s="467" t="s">
        <v>15</v>
      </c>
      <c r="G117" s="468"/>
      <c r="H117" s="468"/>
      <c r="I117" s="468"/>
      <c r="J117" s="468"/>
      <c r="K117" s="468"/>
      <c r="L117" s="465"/>
      <c r="M117" s="469" t="s">
        <v>14</v>
      </c>
      <c r="N117" s="469"/>
      <c r="O117" s="468"/>
      <c r="P117" s="468"/>
      <c r="Q117" s="468"/>
      <c r="R117" s="468"/>
      <c r="S117" s="468"/>
      <c r="T117" s="465"/>
    </row>
    <row r="118" spans="1:20" ht="14.25" thickBot="1">
      <c r="A118" s="470"/>
      <c r="B118" s="473"/>
      <c r="C118" s="473"/>
      <c r="D118" s="474"/>
      <c r="E118" s="466"/>
      <c r="F118" s="115" t="s">
        <v>16</v>
      </c>
      <c r="G118" s="46" t="s">
        <v>115</v>
      </c>
      <c r="H118" s="40" t="s">
        <v>119</v>
      </c>
      <c r="I118" s="40" t="s">
        <v>123</v>
      </c>
      <c r="J118" s="40" t="s">
        <v>130</v>
      </c>
      <c r="K118" s="164" t="s">
        <v>124</v>
      </c>
      <c r="L118" s="41" t="s">
        <v>125</v>
      </c>
      <c r="M118" s="46" t="s">
        <v>7</v>
      </c>
      <c r="N118" s="46" t="s">
        <v>53</v>
      </c>
      <c r="O118" s="40" t="s">
        <v>21</v>
      </c>
      <c r="P118" s="40" t="s">
        <v>52</v>
      </c>
      <c r="Q118" s="40" t="s">
        <v>8</v>
      </c>
      <c r="R118" s="47" t="s">
        <v>9</v>
      </c>
      <c r="S118" s="47" t="s">
        <v>10</v>
      </c>
      <c r="T118" s="48" t="s">
        <v>11</v>
      </c>
    </row>
    <row r="119" spans="1:20" ht="13.5">
      <c r="A119" s="470"/>
      <c r="B119" s="110" t="s">
        <v>39</v>
      </c>
      <c r="C119" s="111">
        <f>C138+D119-E119</f>
        <v>80</v>
      </c>
      <c r="D119" s="297">
        <v>30</v>
      </c>
      <c r="E119" s="299"/>
      <c r="F119" s="331"/>
      <c r="G119" s="328"/>
      <c r="H119" s="281"/>
      <c r="I119" s="281"/>
      <c r="J119" s="281"/>
      <c r="K119" s="281"/>
      <c r="L119" s="282"/>
      <c r="M119" s="114">
        <v>1</v>
      </c>
      <c r="N119" s="114"/>
      <c r="O119" s="112"/>
      <c r="P119" s="112"/>
      <c r="Q119" s="281"/>
      <c r="R119" s="281"/>
      <c r="S119" s="281"/>
      <c r="T119" s="282"/>
    </row>
    <row r="120" spans="1:20" ht="13.5">
      <c r="A120" s="470"/>
      <c r="B120" s="63" t="s">
        <v>40</v>
      </c>
      <c r="C120" s="109">
        <f>C139+D120-E120</f>
        <v>200</v>
      </c>
      <c r="D120" s="318">
        <v>30</v>
      </c>
      <c r="E120" s="319"/>
      <c r="F120" s="332"/>
      <c r="G120" s="329"/>
      <c r="H120" s="284"/>
      <c r="I120" s="284"/>
      <c r="J120" s="284"/>
      <c r="K120" s="284"/>
      <c r="L120" s="285"/>
      <c r="M120" s="102">
        <v>1</v>
      </c>
      <c r="N120" s="102"/>
      <c r="O120" s="100"/>
      <c r="P120" s="284"/>
      <c r="Q120" s="284"/>
      <c r="R120" s="284"/>
      <c r="S120" s="284"/>
      <c r="T120" s="285"/>
    </row>
    <row r="121" spans="1:20" ht="13.5">
      <c r="A121" s="470"/>
      <c r="B121" s="63" t="s">
        <v>41</v>
      </c>
      <c r="C121" s="109">
        <f>C140+D121-E121</f>
        <v>799</v>
      </c>
      <c r="D121" s="318">
        <v>769</v>
      </c>
      <c r="E121" s="319"/>
      <c r="F121" s="332"/>
      <c r="G121" s="329"/>
      <c r="H121" s="284"/>
      <c r="I121" s="284"/>
      <c r="J121" s="284"/>
      <c r="K121" s="284"/>
      <c r="L121" s="285"/>
      <c r="M121" s="102"/>
      <c r="N121" s="102"/>
      <c r="O121" s="100"/>
      <c r="P121" s="284"/>
      <c r="Q121" s="284"/>
      <c r="R121" s="284"/>
      <c r="S121" s="284"/>
      <c r="T121" s="285"/>
    </row>
    <row r="122" spans="1:20" ht="13.5">
      <c r="A122" s="470"/>
      <c r="B122" s="63" t="s">
        <v>42</v>
      </c>
      <c r="C122" s="109">
        <f>C141+D122-E122</f>
        <v>220</v>
      </c>
      <c r="D122" s="318">
        <v>30</v>
      </c>
      <c r="E122" s="319"/>
      <c r="F122" s="332"/>
      <c r="G122" s="329"/>
      <c r="H122" s="284"/>
      <c r="I122" s="284"/>
      <c r="J122" s="284"/>
      <c r="K122" s="284"/>
      <c r="L122" s="285"/>
      <c r="M122" s="102">
        <v>1</v>
      </c>
      <c r="N122" s="102"/>
      <c r="O122" s="100"/>
      <c r="P122" s="100"/>
      <c r="Q122" s="100"/>
      <c r="R122" s="100"/>
      <c r="S122" s="284"/>
      <c r="T122" s="285"/>
    </row>
    <row r="123" spans="1:20" ht="14.25" thickBot="1">
      <c r="A123" s="470"/>
      <c r="B123" s="115" t="s">
        <v>43</v>
      </c>
      <c r="C123" s="116">
        <f>C142+D123-E123</f>
        <v>200</v>
      </c>
      <c r="D123" s="320">
        <v>0</v>
      </c>
      <c r="E123" s="321"/>
      <c r="F123" s="333"/>
      <c r="G123" s="330"/>
      <c r="H123" s="287"/>
      <c r="I123" s="287"/>
      <c r="J123" s="287"/>
      <c r="K123" s="287"/>
      <c r="L123" s="288"/>
      <c r="M123" s="119"/>
      <c r="N123" s="119"/>
      <c r="O123" s="117"/>
      <c r="P123" s="117"/>
      <c r="Q123" s="117"/>
      <c r="R123" s="117"/>
      <c r="S123" s="117"/>
      <c r="T123" s="118"/>
    </row>
    <row r="124" spans="1:20" ht="13.5">
      <c r="A124" s="470"/>
      <c r="B124" s="110" t="s">
        <v>54</v>
      </c>
      <c r="C124" s="111">
        <f aca="true" t="shared" si="18" ref="C124:C131">C143+D124-E124+F124</f>
        <v>400</v>
      </c>
      <c r="D124" s="322"/>
      <c r="E124" s="323"/>
      <c r="F124" s="335">
        <f>IF(G124&lt;&gt;"○",0,5)+IF(H124&lt;&gt;"○",0,10)+IF(I124&lt;&gt;"○",0,15)+IF(J124&lt;&gt;"○",0,20)+IF(K124&lt;&gt;"○",0,25)+IF(L124&lt;&gt;"○",0,40)</f>
        <v>0</v>
      </c>
      <c r="G124" s="339"/>
      <c r="H124" s="340"/>
      <c r="I124" s="340"/>
      <c r="J124" s="340"/>
      <c r="K124" s="340"/>
      <c r="L124" s="341"/>
      <c r="M124" s="114"/>
      <c r="N124" s="114"/>
      <c r="O124" s="112"/>
      <c r="P124" s="112"/>
      <c r="Q124" s="112"/>
      <c r="R124" s="112"/>
      <c r="S124" s="112"/>
      <c r="T124" s="113"/>
    </row>
    <row r="125" spans="1:20" ht="13.5">
      <c r="A125" s="470"/>
      <c r="B125" s="63" t="s">
        <v>55</v>
      </c>
      <c r="C125" s="109">
        <f t="shared" si="18"/>
        <v>1000</v>
      </c>
      <c r="D125" s="318"/>
      <c r="E125" s="319"/>
      <c r="F125" s="336">
        <f aca="true" t="shared" si="19" ref="F125:F131">IF(G125&lt;&gt;"○",0,5)+IF(H125&lt;&gt;"○",0,10)+IF(I125&lt;&gt;"○",0,15)+IF(J125&lt;&gt;"○",0,20)+IF(K125&lt;&gt;"○",0,25)+IF(L125&lt;&gt;"○",0,40)</f>
        <v>0</v>
      </c>
      <c r="G125" s="342"/>
      <c r="H125" s="343"/>
      <c r="I125" s="343"/>
      <c r="J125" s="343"/>
      <c r="K125" s="343"/>
      <c r="L125" s="344"/>
      <c r="M125" s="102"/>
      <c r="N125" s="102"/>
      <c r="O125" s="100"/>
      <c r="P125" s="100"/>
      <c r="Q125" s="100"/>
      <c r="R125" s="100"/>
      <c r="S125" s="100"/>
      <c r="T125" s="101"/>
    </row>
    <row r="126" spans="1:20" ht="13.5">
      <c r="A126" s="470"/>
      <c r="B126" s="63" t="s">
        <v>46</v>
      </c>
      <c r="C126" s="109">
        <f t="shared" si="18"/>
        <v>520</v>
      </c>
      <c r="D126" s="318"/>
      <c r="E126" s="319"/>
      <c r="F126" s="336">
        <f t="shared" si="19"/>
        <v>0</v>
      </c>
      <c r="G126" s="342"/>
      <c r="H126" s="343"/>
      <c r="I126" s="343"/>
      <c r="J126" s="343"/>
      <c r="K126" s="343"/>
      <c r="L126" s="344"/>
      <c r="M126" s="102">
        <v>2</v>
      </c>
      <c r="N126" s="102"/>
      <c r="O126" s="100"/>
      <c r="P126" s="100"/>
      <c r="Q126" s="100"/>
      <c r="R126" s="100"/>
      <c r="S126" s="100"/>
      <c r="T126" s="101"/>
    </row>
    <row r="127" spans="1:20" ht="13.5">
      <c r="A127" s="470"/>
      <c r="B127" s="63" t="s">
        <v>47</v>
      </c>
      <c r="C127" s="109">
        <f t="shared" si="18"/>
        <v>1</v>
      </c>
      <c r="D127" s="318"/>
      <c r="E127" s="319">
        <v>739</v>
      </c>
      <c r="F127" s="336">
        <f t="shared" si="19"/>
        <v>0</v>
      </c>
      <c r="G127" s="342"/>
      <c r="H127" s="343"/>
      <c r="I127" s="343"/>
      <c r="J127" s="343"/>
      <c r="K127" s="343"/>
      <c r="L127" s="345"/>
      <c r="M127" s="102">
        <v>3</v>
      </c>
      <c r="N127" s="102"/>
      <c r="O127" s="100"/>
      <c r="P127" s="100"/>
      <c r="Q127" s="100"/>
      <c r="R127" s="100"/>
      <c r="S127" s="100"/>
      <c r="T127" s="101"/>
    </row>
    <row r="128" spans="1:20" ht="13.5">
      <c r="A128" s="470"/>
      <c r="B128" s="63" t="s">
        <v>48</v>
      </c>
      <c r="C128" s="109">
        <f t="shared" si="18"/>
        <v>1000</v>
      </c>
      <c r="D128" s="318"/>
      <c r="E128" s="319"/>
      <c r="F128" s="336">
        <f t="shared" si="19"/>
        <v>0</v>
      </c>
      <c r="G128" s="342"/>
      <c r="H128" s="343"/>
      <c r="I128" s="343"/>
      <c r="J128" s="343"/>
      <c r="K128" s="343"/>
      <c r="L128" s="344"/>
      <c r="M128" s="102"/>
      <c r="N128" s="102"/>
      <c r="O128" s="100"/>
      <c r="P128" s="100"/>
      <c r="Q128" s="100"/>
      <c r="R128" s="100"/>
      <c r="S128" s="100"/>
      <c r="T128" s="101"/>
    </row>
    <row r="129" spans="1:20" ht="13.5">
      <c r="A129" s="470"/>
      <c r="B129" s="63" t="s">
        <v>49</v>
      </c>
      <c r="C129" s="109">
        <f t="shared" si="18"/>
        <v>1000</v>
      </c>
      <c r="D129" s="318"/>
      <c r="E129" s="319"/>
      <c r="F129" s="336">
        <f t="shared" si="19"/>
        <v>0</v>
      </c>
      <c r="G129" s="342"/>
      <c r="H129" s="343"/>
      <c r="I129" s="343"/>
      <c r="J129" s="343"/>
      <c r="K129" s="343"/>
      <c r="L129" s="344"/>
      <c r="M129" s="102"/>
      <c r="N129" s="102"/>
      <c r="O129" s="100"/>
      <c r="P129" s="100"/>
      <c r="Q129" s="100"/>
      <c r="R129" s="100"/>
      <c r="S129" s="100"/>
      <c r="T129" s="101"/>
    </row>
    <row r="130" spans="1:20" ht="13.5">
      <c r="A130" s="470"/>
      <c r="B130" s="63" t="s">
        <v>45</v>
      </c>
      <c r="C130" s="109">
        <f t="shared" si="18"/>
        <v>650</v>
      </c>
      <c r="D130" s="318"/>
      <c r="E130" s="319"/>
      <c r="F130" s="336">
        <f t="shared" si="19"/>
        <v>0</v>
      </c>
      <c r="G130" s="342"/>
      <c r="H130" s="343"/>
      <c r="I130" s="343"/>
      <c r="J130" s="343"/>
      <c r="K130" s="343"/>
      <c r="L130" s="344"/>
      <c r="M130" s="102"/>
      <c r="N130" s="102"/>
      <c r="O130" s="100"/>
      <c r="P130" s="100"/>
      <c r="Q130" s="100"/>
      <c r="R130" s="100"/>
      <c r="S130" s="100"/>
      <c r="T130" s="101"/>
    </row>
    <row r="131" spans="1:20" ht="14.25" thickBot="1">
      <c r="A131" s="470"/>
      <c r="B131" s="120" t="s">
        <v>51</v>
      </c>
      <c r="C131" s="121">
        <f t="shared" si="18"/>
        <v>1000</v>
      </c>
      <c r="D131" s="320"/>
      <c r="E131" s="321"/>
      <c r="F131" s="337">
        <f t="shared" si="19"/>
        <v>0</v>
      </c>
      <c r="G131" s="346"/>
      <c r="H131" s="347"/>
      <c r="I131" s="347"/>
      <c r="J131" s="347"/>
      <c r="K131" s="347"/>
      <c r="L131" s="348"/>
      <c r="M131" s="124"/>
      <c r="N131" s="124"/>
      <c r="O131" s="122"/>
      <c r="P131" s="122"/>
      <c r="Q131" s="122"/>
      <c r="R131" s="122"/>
      <c r="S131" s="122"/>
      <c r="T131" s="123"/>
    </row>
    <row r="132" spans="1:20" ht="15" thickBot="1" thickTop="1">
      <c r="A132" s="470"/>
      <c r="B132" s="20" t="s">
        <v>12</v>
      </c>
      <c r="C132" s="55">
        <f>C133-(SUM(C119:C131))</f>
        <v>4930</v>
      </c>
      <c r="D132" s="316"/>
      <c r="E132" s="317"/>
      <c r="F132" s="58"/>
      <c r="G132" s="58"/>
      <c r="H132" s="58"/>
      <c r="I132" s="58"/>
      <c r="J132" s="58"/>
      <c r="K132" s="58"/>
      <c r="L132" s="59"/>
      <c r="M132" s="49">
        <f aca="true" t="shared" si="20" ref="M132:S132">M133-(SUM(M119:M131))</f>
        <v>1</v>
      </c>
      <c r="N132" s="50">
        <f t="shared" si="20"/>
        <v>3</v>
      </c>
      <c r="O132" s="50">
        <f t="shared" si="20"/>
        <v>5</v>
      </c>
      <c r="P132" s="50">
        <f t="shared" si="20"/>
        <v>2</v>
      </c>
      <c r="Q132" s="50">
        <f t="shared" si="20"/>
        <v>4</v>
      </c>
      <c r="R132" s="50">
        <f t="shared" si="20"/>
        <v>3</v>
      </c>
      <c r="S132" s="50">
        <f t="shared" si="20"/>
        <v>2</v>
      </c>
      <c r="T132" s="51">
        <f>(SUM(T119:T131))</f>
        <v>0</v>
      </c>
    </row>
    <row r="133" spans="1:20" ht="15" thickBot="1" thickTop="1">
      <c r="A133" s="315" t="s">
        <v>127</v>
      </c>
      <c r="B133" s="21" t="s">
        <v>13</v>
      </c>
      <c r="C133" s="56">
        <v>12000</v>
      </c>
      <c r="D133" s="60"/>
      <c r="E133" s="61"/>
      <c r="F133" s="61"/>
      <c r="G133" s="61"/>
      <c r="H133" s="61"/>
      <c r="I133" s="61"/>
      <c r="J133" s="61"/>
      <c r="K133" s="61"/>
      <c r="L133" s="62"/>
      <c r="M133" s="52">
        <v>9</v>
      </c>
      <c r="N133" s="52">
        <v>3</v>
      </c>
      <c r="O133" s="53">
        <v>5</v>
      </c>
      <c r="P133" s="53">
        <v>2</v>
      </c>
      <c r="Q133" s="53">
        <v>4</v>
      </c>
      <c r="R133" s="53">
        <v>3</v>
      </c>
      <c r="S133" s="53">
        <v>2</v>
      </c>
      <c r="T133" s="54">
        <v>6</v>
      </c>
    </row>
    <row r="134" spans="1:5" ht="13.5">
      <c r="A134" s="314" t="s">
        <v>126</v>
      </c>
      <c r="C134" s="19"/>
      <c r="D134" s="19"/>
      <c r="E134" s="19"/>
    </row>
    <row r="135" spans="1:5" ht="14.25" thickBot="1">
      <c r="A135" s="470" t="s">
        <v>129</v>
      </c>
      <c r="B135" s="289">
        <v>2</v>
      </c>
      <c r="C135" s="471">
        <f>IF(B135=B154,C154+1,1)</f>
        <v>1</v>
      </c>
      <c r="D135" s="471"/>
      <c r="E135" s="245"/>
    </row>
    <row r="136" spans="1:20" ht="13.5">
      <c r="A136" s="470"/>
      <c r="B136" s="472" t="s">
        <v>6</v>
      </c>
      <c r="C136" s="472" t="s">
        <v>1</v>
      </c>
      <c r="D136" s="467" t="s">
        <v>23</v>
      </c>
      <c r="E136" s="465" t="s">
        <v>29</v>
      </c>
      <c r="F136" s="467" t="s">
        <v>15</v>
      </c>
      <c r="G136" s="468"/>
      <c r="H136" s="468"/>
      <c r="I136" s="468"/>
      <c r="J136" s="468"/>
      <c r="K136" s="468"/>
      <c r="L136" s="465"/>
      <c r="M136" s="469" t="s">
        <v>14</v>
      </c>
      <c r="N136" s="469"/>
      <c r="O136" s="468"/>
      <c r="P136" s="468"/>
      <c r="Q136" s="468"/>
      <c r="R136" s="468"/>
      <c r="S136" s="468"/>
      <c r="T136" s="465"/>
    </row>
    <row r="137" spans="1:20" ht="14.25" thickBot="1">
      <c r="A137" s="470"/>
      <c r="B137" s="473"/>
      <c r="C137" s="473"/>
      <c r="D137" s="474"/>
      <c r="E137" s="466"/>
      <c r="F137" s="115" t="s">
        <v>16</v>
      </c>
      <c r="G137" s="46" t="s">
        <v>115</v>
      </c>
      <c r="H137" s="40" t="s">
        <v>119</v>
      </c>
      <c r="I137" s="40" t="s">
        <v>123</v>
      </c>
      <c r="J137" s="40" t="s">
        <v>130</v>
      </c>
      <c r="K137" s="164" t="s">
        <v>124</v>
      </c>
      <c r="L137" s="41" t="s">
        <v>125</v>
      </c>
      <c r="M137" s="46" t="s">
        <v>7</v>
      </c>
      <c r="N137" s="46" t="s">
        <v>53</v>
      </c>
      <c r="O137" s="40" t="s">
        <v>21</v>
      </c>
      <c r="P137" s="40" t="s">
        <v>52</v>
      </c>
      <c r="Q137" s="40" t="s">
        <v>8</v>
      </c>
      <c r="R137" s="47" t="s">
        <v>9</v>
      </c>
      <c r="S137" s="47" t="s">
        <v>10</v>
      </c>
      <c r="T137" s="48" t="s">
        <v>11</v>
      </c>
    </row>
    <row r="138" spans="1:20" ht="13.5">
      <c r="A138" s="470"/>
      <c r="B138" s="110" t="s">
        <v>39</v>
      </c>
      <c r="C138" s="111">
        <f>C157+D138-E138</f>
        <v>50</v>
      </c>
      <c r="D138" s="297">
        <v>30</v>
      </c>
      <c r="E138" s="299"/>
      <c r="F138" s="331"/>
      <c r="G138" s="328"/>
      <c r="H138" s="281"/>
      <c r="I138" s="281"/>
      <c r="J138" s="281"/>
      <c r="K138" s="281"/>
      <c r="L138" s="282"/>
      <c r="M138" s="114">
        <v>1</v>
      </c>
      <c r="N138" s="114"/>
      <c r="O138" s="112"/>
      <c r="P138" s="112"/>
      <c r="Q138" s="281"/>
      <c r="R138" s="281"/>
      <c r="S138" s="281"/>
      <c r="T138" s="282"/>
    </row>
    <row r="139" spans="1:20" ht="13.5">
      <c r="A139" s="470"/>
      <c r="B139" s="63" t="s">
        <v>40</v>
      </c>
      <c r="C139" s="109">
        <f>C158+D139-E139</f>
        <v>170</v>
      </c>
      <c r="D139" s="318">
        <v>30</v>
      </c>
      <c r="E139" s="319"/>
      <c r="F139" s="332"/>
      <c r="G139" s="329"/>
      <c r="H139" s="284"/>
      <c r="I139" s="284"/>
      <c r="J139" s="284"/>
      <c r="K139" s="284"/>
      <c r="L139" s="285"/>
      <c r="M139" s="102">
        <v>1</v>
      </c>
      <c r="N139" s="102"/>
      <c r="O139" s="100"/>
      <c r="P139" s="284"/>
      <c r="Q139" s="284"/>
      <c r="R139" s="284"/>
      <c r="S139" s="284"/>
      <c r="T139" s="285"/>
    </row>
    <row r="140" spans="1:20" ht="13.5">
      <c r="A140" s="470"/>
      <c r="B140" s="63" t="s">
        <v>41</v>
      </c>
      <c r="C140" s="109">
        <f>C159+D140-E140</f>
        <v>30</v>
      </c>
      <c r="D140" s="318">
        <v>30</v>
      </c>
      <c r="E140" s="319"/>
      <c r="F140" s="332"/>
      <c r="G140" s="329"/>
      <c r="H140" s="284"/>
      <c r="I140" s="284"/>
      <c r="J140" s="284"/>
      <c r="K140" s="284"/>
      <c r="L140" s="285"/>
      <c r="M140" s="102">
        <v>1</v>
      </c>
      <c r="N140" s="102"/>
      <c r="O140" s="100"/>
      <c r="P140" s="284"/>
      <c r="Q140" s="284"/>
      <c r="R140" s="284"/>
      <c r="S140" s="284"/>
      <c r="T140" s="285"/>
    </row>
    <row r="141" spans="1:20" ht="13.5">
      <c r="A141" s="470"/>
      <c r="B141" s="63" t="s">
        <v>42</v>
      </c>
      <c r="C141" s="109">
        <f>C160+D141-E141</f>
        <v>190</v>
      </c>
      <c r="D141" s="318">
        <v>30</v>
      </c>
      <c r="E141" s="319"/>
      <c r="F141" s="332"/>
      <c r="G141" s="329"/>
      <c r="H141" s="284"/>
      <c r="I141" s="284"/>
      <c r="J141" s="284"/>
      <c r="K141" s="284"/>
      <c r="L141" s="285"/>
      <c r="M141" s="102">
        <v>1</v>
      </c>
      <c r="N141" s="102"/>
      <c r="O141" s="100"/>
      <c r="P141" s="100"/>
      <c r="Q141" s="100"/>
      <c r="R141" s="100"/>
      <c r="S141" s="284"/>
      <c r="T141" s="285"/>
    </row>
    <row r="142" spans="1:20" ht="14.25" thickBot="1">
      <c r="A142" s="470"/>
      <c r="B142" s="115" t="s">
        <v>43</v>
      </c>
      <c r="C142" s="116">
        <f>C161+D142-E142</f>
        <v>200</v>
      </c>
      <c r="D142" s="320">
        <v>0</v>
      </c>
      <c r="E142" s="321"/>
      <c r="F142" s="333"/>
      <c r="G142" s="330"/>
      <c r="H142" s="287"/>
      <c r="I142" s="287"/>
      <c r="J142" s="287"/>
      <c r="K142" s="287"/>
      <c r="L142" s="288"/>
      <c r="M142" s="119"/>
      <c r="N142" s="119"/>
      <c r="O142" s="117"/>
      <c r="P142" s="117"/>
      <c r="Q142" s="117"/>
      <c r="R142" s="117"/>
      <c r="S142" s="117"/>
      <c r="T142" s="118"/>
    </row>
    <row r="143" spans="1:20" ht="13.5">
      <c r="A143" s="470"/>
      <c r="B143" s="110" t="s">
        <v>54</v>
      </c>
      <c r="C143" s="111">
        <f aca="true" t="shared" si="21" ref="C143:C150">C162+D143-E143+F143</f>
        <v>400</v>
      </c>
      <c r="D143" s="322"/>
      <c r="E143" s="323"/>
      <c r="F143" s="335">
        <f>IF(G143&lt;&gt;"○",0,5)+IF(H143&lt;&gt;"○",0,10)+IF(I143&lt;&gt;"○",0,15)+IF(J143&lt;&gt;"○",0,20)+IF(K143&lt;&gt;"○",0,25)+IF(L143&lt;&gt;"○",0,40)</f>
        <v>0</v>
      </c>
      <c r="G143" s="339"/>
      <c r="H143" s="340"/>
      <c r="I143" s="340"/>
      <c r="J143" s="340"/>
      <c r="K143" s="340"/>
      <c r="L143" s="341"/>
      <c r="M143" s="114"/>
      <c r="N143" s="114"/>
      <c r="O143" s="112"/>
      <c r="P143" s="112"/>
      <c r="Q143" s="112"/>
      <c r="R143" s="112"/>
      <c r="S143" s="112"/>
      <c r="T143" s="113"/>
    </row>
    <row r="144" spans="1:20" ht="13.5">
      <c r="A144" s="470"/>
      <c r="B144" s="63" t="s">
        <v>55</v>
      </c>
      <c r="C144" s="109">
        <f t="shared" si="21"/>
        <v>1000</v>
      </c>
      <c r="D144" s="318"/>
      <c r="E144" s="319"/>
      <c r="F144" s="336">
        <f aca="true" t="shared" si="22" ref="F144:F150">IF(G144&lt;&gt;"○",0,5)+IF(H144&lt;&gt;"○",0,10)+IF(I144&lt;&gt;"○",0,15)+IF(J144&lt;&gt;"○",0,20)+IF(K144&lt;&gt;"○",0,25)+IF(L144&lt;&gt;"○",0,40)</f>
        <v>0</v>
      </c>
      <c r="G144" s="342"/>
      <c r="H144" s="343"/>
      <c r="I144" s="343"/>
      <c r="J144" s="343"/>
      <c r="K144" s="343"/>
      <c r="L144" s="344"/>
      <c r="M144" s="102"/>
      <c r="N144" s="102"/>
      <c r="O144" s="100"/>
      <c r="P144" s="100"/>
      <c r="Q144" s="100"/>
      <c r="R144" s="100"/>
      <c r="S144" s="100"/>
      <c r="T144" s="101"/>
    </row>
    <row r="145" spans="1:20" ht="13.5">
      <c r="A145" s="470"/>
      <c r="B145" s="63" t="s">
        <v>46</v>
      </c>
      <c r="C145" s="109">
        <f>C164+D145-E145+F145</f>
        <v>520</v>
      </c>
      <c r="D145" s="318"/>
      <c r="E145" s="319">
        <v>40</v>
      </c>
      <c r="F145" s="336">
        <f t="shared" si="22"/>
        <v>0</v>
      </c>
      <c r="G145" s="342"/>
      <c r="H145" s="343"/>
      <c r="I145" s="343"/>
      <c r="J145" s="343"/>
      <c r="K145" s="343"/>
      <c r="L145" s="344"/>
      <c r="M145" s="102">
        <v>2</v>
      </c>
      <c r="N145" s="102"/>
      <c r="O145" s="100"/>
      <c r="P145" s="100"/>
      <c r="Q145" s="100"/>
      <c r="R145" s="100"/>
      <c r="S145" s="100"/>
      <c r="T145" s="101"/>
    </row>
    <row r="146" spans="1:20" ht="13.5">
      <c r="A146" s="470"/>
      <c r="B146" s="63" t="s">
        <v>47</v>
      </c>
      <c r="C146" s="109">
        <f t="shared" si="21"/>
        <v>740</v>
      </c>
      <c r="D146" s="318"/>
      <c r="E146" s="319">
        <v>80</v>
      </c>
      <c r="F146" s="336">
        <f t="shared" si="22"/>
        <v>0</v>
      </c>
      <c r="G146" s="342"/>
      <c r="H146" s="343"/>
      <c r="I146" s="343"/>
      <c r="J146" s="343"/>
      <c r="K146" s="343"/>
      <c r="L146" s="345"/>
      <c r="M146" s="102">
        <v>2</v>
      </c>
      <c r="N146" s="102"/>
      <c r="O146" s="100"/>
      <c r="P146" s="100"/>
      <c r="Q146" s="100"/>
      <c r="R146" s="100"/>
      <c r="S146" s="100"/>
      <c r="T146" s="101"/>
    </row>
    <row r="147" spans="1:20" ht="13.5">
      <c r="A147" s="470"/>
      <c r="B147" s="63" t="s">
        <v>48</v>
      </c>
      <c r="C147" s="109">
        <f t="shared" si="21"/>
        <v>1000</v>
      </c>
      <c r="D147" s="318"/>
      <c r="E147" s="319"/>
      <c r="F147" s="336">
        <f t="shared" si="22"/>
        <v>0</v>
      </c>
      <c r="G147" s="342"/>
      <c r="H147" s="343"/>
      <c r="I147" s="343"/>
      <c r="J147" s="343"/>
      <c r="K147" s="343"/>
      <c r="L147" s="344"/>
      <c r="M147" s="102"/>
      <c r="N147" s="102"/>
      <c r="O147" s="100"/>
      <c r="P147" s="100"/>
      <c r="Q147" s="100"/>
      <c r="R147" s="100"/>
      <c r="S147" s="100"/>
      <c r="T147" s="101"/>
    </row>
    <row r="148" spans="1:20" ht="13.5">
      <c r="A148" s="470"/>
      <c r="B148" s="63" t="s">
        <v>49</v>
      </c>
      <c r="C148" s="109">
        <f t="shared" si="21"/>
        <v>1000</v>
      </c>
      <c r="D148" s="318"/>
      <c r="E148" s="319"/>
      <c r="F148" s="336">
        <f t="shared" si="22"/>
        <v>0</v>
      </c>
      <c r="G148" s="342"/>
      <c r="H148" s="343"/>
      <c r="I148" s="343"/>
      <c r="J148" s="343"/>
      <c r="K148" s="343"/>
      <c r="L148" s="344"/>
      <c r="M148" s="102"/>
      <c r="N148" s="102"/>
      <c r="O148" s="100"/>
      <c r="P148" s="100"/>
      <c r="Q148" s="100"/>
      <c r="R148" s="100"/>
      <c r="S148" s="100"/>
      <c r="T148" s="101"/>
    </row>
    <row r="149" spans="1:20" ht="13.5">
      <c r="A149" s="470"/>
      <c r="B149" s="63" t="s">
        <v>45</v>
      </c>
      <c r="C149" s="109">
        <f t="shared" si="21"/>
        <v>650</v>
      </c>
      <c r="D149" s="318"/>
      <c r="E149" s="319"/>
      <c r="F149" s="336">
        <f t="shared" si="22"/>
        <v>0</v>
      </c>
      <c r="G149" s="342"/>
      <c r="H149" s="343"/>
      <c r="I149" s="343"/>
      <c r="J149" s="343"/>
      <c r="K149" s="343"/>
      <c r="L149" s="344"/>
      <c r="M149" s="102"/>
      <c r="N149" s="102"/>
      <c r="O149" s="100"/>
      <c r="P149" s="100"/>
      <c r="Q149" s="100"/>
      <c r="R149" s="100"/>
      <c r="S149" s="100"/>
      <c r="T149" s="101"/>
    </row>
    <row r="150" spans="1:20" ht="14.25" thickBot="1">
      <c r="A150" s="470"/>
      <c r="B150" s="120" t="s">
        <v>51</v>
      </c>
      <c r="C150" s="121">
        <f t="shared" si="21"/>
        <v>1000</v>
      </c>
      <c r="D150" s="320"/>
      <c r="E150" s="321"/>
      <c r="F150" s="337">
        <f t="shared" si="22"/>
        <v>0</v>
      </c>
      <c r="G150" s="346"/>
      <c r="H150" s="347"/>
      <c r="I150" s="347"/>
      <c r="J150" s="347"/>
      <c r="K150" s="347"/>
      <c r="L150" s="348"/>
      <c r="M150" s="124"/>
      <c r="N150" s="124"/>
      <c r="O150" s="122"/>
      <c r="P150" s="122"/>
      <c r="Q150" s="122"/>
      <c r="R150" s="122"/>
      <c r="S150" s="122"/>
      <c r="T150" s="123"/>
    </row>
    <row r="151" spans="1:20" ht="15" thickBot="1" thickTop="1">
      <c r="A151" s="470"/>
      <c r="B151" s="20" t="s">
        <v>12</v>
      </c>
      <c r="C151" s="55">
        <f>C152-(SUM(C138:C150))</f>
        <v>5050</v>
      </c>
      <c r="D151" s="316"/>
      <c r="E151" s="317"/>
      <c r="F151" s="58"/>
      <c r="G151" s="58"/>
      <c r="H151" s="58"/>
      <c r="I151" s="58"/>
      <c r="J151" s="58"/>
      <c r="K151" s="58"/>
      <c r="L151" s="59"/>
      <c r="M151" s="49">
        <f aca="true" t="shared" si="23" ref="M151:S151">M152-(SUM(M138:M150))</f>
        <v>1</v>
      </c>
      <c r="N151" s="50">
        <f t="shared" si="23"/>
        <v>3</v>
      </c>
      <c r="O151" s="50">
        <f t="shared" si="23"/>
        <v>5</v>
      </c>
      <c r="P151" s="50">
        <f t="shared" si="23"/>
        <v>2</v>
      </c>
      <c r="Q151" s="50">
        <f t="shared" si="23"/>
        <v>4</v>
      </c>
      <c r="R151" s="50">
        <f t="shared" si="23"/>
        <v>3</v>
      </c>
      <c r="S151" s="50">
        <f t="shared" si="23"/>
        <v>2</v>
      </c>
      <c r="T151" s="51">
        <f>(SUM(T138:T150))</f>
        <v>0</v>
      </c>
    </row>
    <row r="152" spans="1:20" ht="15" thickBot="1" thickTop="1">
      <c r="A152" s="315" t="s">
        <v>127</v>
      </c>
      <c r="B152" s="21" t="s">
        <v>13</v>
      </c>
      <c r="C152" s="56">
        <v>12000</v>
      </c>
      <c r="D152" s="60"/>
      <c r="E152" s="61"/>
      <c r="F152" s="61"/>
      <c r="G152" s="61"/>
      <c r="H152" s="61"/>
      <c r="I152" s="61"/>
      <c r="J152" s="61"/>
      <c r="K152" s="61"/>
      <c r="L152" s="62"/>
      <c r="M152" s="52">
        <v>9</v>
      </c>
      <c r="N152" s="52">
        <v>3</v>
      </c>
      <c r="O152" s="53">
        <v>5</v>
      </c>
      <c r="P152" s="53">
        <v>2</v>
      </c>
      <c r="Q152" s="53">
        <v>4</v>
      </c>
      <c r="R152" s="53">
        <v>3</v>
      </c>
      <c r="S152" s="53">
        <v>2</v>
      </c>
      <c r="T152" s="54">
        <v>6</v>
      </c>
    </row>
    <row r="153" ht="13.5">
      <c r="A153" s="313"/>
    </row>
    <row r="154" spans="1:5" ht="14.25" thickBot="1">
      <c r="A154" s="313"/>
      <c r="B154" s="289">
        <v>1</v>
      </c>
      <c r="C154" s="471">
        <v>1</v>
      </c>
      <c r="D154" s="471"/>
      <c r="E154" s="245"/>
    </row>
    <row r="155" spans="1:20" ht="13.5">
      <c r="A155" s="475" t="s">
        <v>128</v>
      </c>
      <c r="B155" s="472" t="s">
        <v>6</v>
      </c>
      <c r="C155" s="472" t="s">
        <v>1</v>
      </c>
      <c r="D155" s="467" t="s">
        <v>23</v>
      </c>
      <c r="E155" s="465" t="s">
        <v>29</v>
      </c>
      <c r="F155" s="467" t="s">
        <v>15</v>
      </c>
      <c r="G155" s="468"/>
      <c r="H155" s="468"/>
      <c r="I155" s="468"/>
      <c r="J155" s="468"/>
      <c r="K155" s="468"/>
      <c r="L155" s="465"/>
      <c r="M155" s="469" t="s">
        <v>14</v>
      </c>
      <c r="N155" s="469"/>
      <c r="O155" s="468"/>
      <c r="P155" s="468"/>
      <c r="Q155" s="468"/>
      <c r="R155" s="468"/>
      <c r="S155" s="468"/>
      <c r="T155" s="465"/>
    </row>
    <row r="156" spans="1:20" ht="14.25" thickBot="1">
      <c r="A156" s="476"/>
      <c r="B156" s="473"/>
      <c r="C156" s="473"/>
      <c r="D156" s="476"/>
      <c r="E156" s="477"/>
      <c r="F156" s="22" t="s">
        <v>16</v>
      </c>
      <c r="G156" s="40" t="s">
        <v>115</v>
      </c>
      <c r="H156" s="40" t="s">
        <v>119</v>
      </c>
      <c r="I156" s="40" t="s">
        <v>123</v>
      </c>
      <c r="J156" s="40" t="s">
        <v>130</v>
      </c>
      <c r="K156" s="164" t="s">
        <v>124</v>
      </c>
      <c r="L156" s="41" t="s">
        <v>125</v>
      </c>
      <c r="M156" s="46" t="s">
        <v>7</v>
      </c>
      <c r="N156" s="46" t="s">
        <v>53</v>
      </c>
      <c r="O156" s="40" t="s">
        <v>21</v>
      </c>
      <c r="P156" s="40" t="s">
        <v>52</v>
      </c>
      <c r="Q156" s="40" t="s">
        <v>8</v>
      </c>
      <c r="R156" s="47" t="s">
        <v>9</v>
      </c>
      <c r="S156" s="47" t="s">
        <v>10</v>
      </c>
      <c r="T156" s="48" t="s">
        <v>11</v>
      </c>
    </row>
    <row r="157" spans="1:20" ht="13.5">
      <c r="A157" s="234">
        <v>100</v>
      </c>
      <c r="B157" s="110" t="s">
        <v>39</v>
      </c>
      <c r="C157" s="324">
        <f>D157-E157+A157</f>
        <v>20</v>
      </c>
      <c r="D157" s="297"/>
      <c r="E157" s="299">
        <v>80</v>
      </c>
      <c r="F157" s="280"/>
      <c r="G157" s="281"/>
      <c r="H157" s="281"/>
      <c r="I157" s="281"/>
      <c r="J157" s="281"/>
      <c r="K157" s="281"/>
      <c r="L157" s="282"/>
      <c r="M157" s="114">
        <v>1</v>
      </c>
      <c r="N157" s="114"/>
      <c r="O157" s="112"/>
      <c r="P157" s="112"/>
      <c r="Q157" s="281"/>
      <c r="R157" s="281"/>
      <c r="S157" s="281"/>
      <c r="T157" s="282"/>
    </row>
    <row r="158" spans="1:20" ht="13.5">
      <c r="A158" s="236">
        <v>200</v>
      </c>
      <c r="B158" s="63" t="s">
        <v>40</v>
      </c>
      <c r="C158" s="325">
        <f>D158-E158+A158</f>
        <v>140</v>
      </c>
      <c r="D158" s="318">
        <v>100</v>
      </c>
      <c r="E158" s="319">
        <v>160</v>
      </c>
      <c r="F158" s="283"/>
      <c r="G158" s="284"/>
      <c r="H158" s="284"/>
      <c r="I158" s="284"/>
      <c r="J158" s="284"/>
      <c r="K158" s="284"/>
      <c r="L158" s="285"/>
      <c r="M158" s="102">
        <v>1</v>
      </c>
      <c r="N158" s="102"/>
      <c r="O158" s="100"/>
      <c r="P158" s="284"/>
      <c r="Q158" s="284"/>
      <c r="R158" s="284"/>
      <c r="S158" s="284"/>
      <c r="T158" s="285"/>
    </row>
    <row r="159" spans="1:20" ht="13.5">
      <c r="A159" s="236">
        <v>100</v>
      </c>
      <c r="B159" s="63" t="s">
        <v>41</v>
      </c>
      <c r="C159" s="325">
        <f>D159-E159+A159</f>
        <v>0</v>
      </c>
      <c r="D159" s="318"/>
      <c r="E159" s="319">
        <v>100</v>
      </c>
      <c r="F159" s="283"/>
      <c r="G159" s="284"/>
      <c r="H159" s="284"/>
      <c r="I159" s="284"/>
      <c r="J159" s="284"/>
      <c r="K159" s="284"/>
      <c r="L159" s="285"/>
      <c r="M159" s="102">
        <v>1</v>
      </c>
      <c r="N159" s="102"/>
      <c r="O159" s="100"/>
      <c r="P159" s="284"/>
      <c r="Q159" s="284"/>
      <c r="R159" s="284"/>
      <c r="S159" s="284"/>
      <c r="T159" s="285"/>
    </row>
    <row r="160" spans="1:20" ht="13.5">
      <c r="A160" s="236">
        <v>320</v>
      </c>
      <c r="B160" s="63" t="s">
        <v>42</v>
      </c>
      <c r="C160" s="325">
        <f>D160-E160+A160</f>
        <v>160</v>
      </c>
      <c r="D160" s="318"/>
      <c r="E160" s="319">
        <v>160</v>
      </c>
      <c r="F160" s="283"/>
      <c r="G160" s="284"/>
      <c r="H160" s="284"/>
      <c r="I160" s="284"/>
      <c r="J160" s="284"/>
      <c r="K160" s="284"/>
      <c r="L160" s="285"/>
      <c r="M160" s="102">
        <v>1</v>
      </c>
      <c r="N160" s="102"/>
      <c r="O160" s="100"/>
      <c r="P160" s="100"/>
      <c r="Q160" s="100"/>
      <c r="R160" s="100"/>
      <c r="S160" s="284"/>
      <c r="T160" s="285"/>
    </row>
    <row r="161" spans="1:20" ht="14.25" thickBot="1">
      <c r="A161" s="237">
        <v>200</v>
      </c>
      <c r="B161" s="115" t="s">
        <v>43</v>
      </c>
      <c r="C161" s="326">
        <f>D161-E161+A161</f>
        <v>200</v>
      </c>
      <c r="D161" s="320"/>
      <c r="E161" s="321"/>
      <c r="F161" s="286"/>
      <c r="G161" s="287"/>
      <c r="H161" s="287"/>
      <c r="I161" s="287"/>
      <c r="J161" s="287"/>
      <c r="K161" s="287"/>
      <c r="L161" s="288"/>
      <c r="M161" s="119"/>
      <c r="N161" s="119"/>
      <c r="O161" s="117"/>
      <c r="P161" s="117"/>
      <c r="Q161" s="117"/>
      <c r="R161" s="117"/>
      <c r="S161" s="117"/>
      <c r="T161" s="118"/>
    </row>
    <row r="162" spans="1:20" ht="13.5">
      <c r="A162" s="322">
        <v>400</v>
      </c>
      <c r="B162" s="110" t="s">
        <v>54</v>
      </c>
      <c r="C162" s="324">
        <f>D162-E162+F162+A162</f>
        <v>400</v>
      </c>
      <c r="D162" s="322"/>
      <c r="E162" s="323"/>
      <c r="F162" s="335">
        <f>IF(G162&lt;&gt;"○",0,5)+IF(H162&lt;&gt;"○",0,10)+IF(I162&lt;&gt;"○",0,15)+IF(J162&lt;&gt;"○",0,20)+IF(K162&lt;&gt;"○",0,25)+IF(L162&lt;&gt;"○",0,40)</f>
        <v>0</v>
      </c>
      <c r="G162" s="170"/>
      <c r="H162" s="112"/>
      <c r="I162" s="112"/>
      <c r="J162" s="112"/>
      <c r="K162" s="112"/>
      <c r="L162" s="282"/>
      <c r="M162" s="114"/>
      <c r="N162" s="114"/>
      <c r="O162" s="112"/>
      <c r="P162" s="112"/>
      <c r="Q162" s="112"/>
      <c r="R162" s="112"/>
      <c r="S162" s="112"/>
      <c r="T162" s="113"/>
    </row>
    <row r="163" spans="1:20" ht="13.5">
      <c r="A163" s="318">
        <v>1000</v>
      </c>
      <c r="B163" s="63" t="s">
        <v>55</v>
      </c>
      <c r="C163" s="325">
        <f aca="true" t="shared" si="24" ref="C163:C169">D163-E163+F163+A163</f>
        <v>1000</v>
      </c>
      <c r="D163" s="318"/>
      <c r="E163" s="319"/>
      <c r="F163" s="336">
        <f aca="true" t="shared" si="25" ref="F163:F169">IF(G163&lt;&gt;"○",0,5)+IF(H163&lt;&gt;"○",0,10)+IF(I163&lt;&gt;"○",0,15)+IF(J163&lt;&gt;"○",0,20)+IF(K163&lt;&gt;"○",0,25)+IF(L163&lt;&gt;"○",0,40)</f>
        <v>0</v>
      </c>
      <c r="G163" s="171"/>
      <c r="H163" s="100"/>
      <c r="I163" s="100"/>
      <c r="J163" s="100"/>
      <c r="K163" s="100"/>
      <c r="L163" s="285"/>
      <c r="M163" s="102"/>
      <c r="N163" s="102"/>
      <c r="O163" s="100"/>
      <c r="P163" s="100"/>
      <c r="Q163" s="100"/>
      <c r="R163" s="100"/>
      <c r="S163" s="100"/>
      <c r="T163" s="101"/>
    </row>
    <row r="164" spans="1:20" ht="13.5">
      <c r="A164" s="318">
        <v>800</v>
      </c>
      <c r="B164" s="63" t="s">
        <v>46</v>
      </c>
      <c r="C164" s="325">
        <f t="shared" si="24"/>
        <v>560</v>
      </c>
      <c r="D164" s="318"/>
      <c r="E164" s="319">
        <v>240</v>
      </c>
      <c r="F164" s="336">
        <f t="shared" si="25"/>
        <v>0</v>
      </c>
      <c r="G164" s="171"/>
      <c r="H164" s="100"/>
      <c r="I164" s="100"/>
      <c r="J164" s="100"/>
      <c r="K164" s="100"/>
      <c r="L164" s="285"/>
      <c r="M164" s="102">
        <v>2</v>
      </c>
      <c r="N164" s="102"/>
      <c r="O164" s="100"/>
      <c r="P164" s="100"/>
      <c r="Q164" s="100"/>
      <c r="R164" s="100"/>
      <c r="S164" s="100"/>
      <c r="T164" s="101"/>
    </row>
    <row r="165" spans="1:20" ht="13.5">
      <c r="A165" s="318">
        <v>900</v>
      </c>
      <c r="B165" s="63" t="s">
        <v>47</v>
      </c>
      <c r="C165" s="325">
        <f t="shared" si="24"/>
        <v>820</v>
      </c>
      <c r="D165" s="318"/>
      <c r="E165" s="319">
        <v>80</v>
      </c>
      <c r="F165" s="336">
        <f t="shared" si="25"/>
        <v>0</v>
      </c>
      <c r="G165" s="171"/>
      <c r="H165" s="100"/>
      <c r="I165" s="100"/>
      <c r="J165" s="100"/>
      <c r="K165" s="100"/>
      <c r="L165" s="101"/>
      <c r="M165" s="102">
        <v>1</v>
      </c>
      <c r="N165" s="102"/>
      <c r="O165" s="100"/>
      <c r="P165" s="100"/>
      <c r="Q165" s="100"/>
      <c r="R165" s="100"/>
      <c r="S165" s="100"/>
      <c r="T165" s="101"/>
    </row>
    <row r="166" spans="1:20" ht="13.5">
      <c r="A166" s="318">
        <v>1000</v>
      </c>
      <c r="B166" s="63" t="s">
        <v>48</v>
      </c>
      <c r="C166" s="325">
        <f t="shared" si="24"/>
        <v>1000</v>
      </c>
      <c r="D166" s="318"/>
      <c r="E166" s="319"/>
      <c r="F166" s="336">
        <f t="shared" si="25"/>
        <v>0</v>
      </c>
      <c r="G166" s="171"/>
      <c r="H166" s="100"/>
      <c r="I166" s="100"/>
      <c r="J166" s="100"/>
      <c r="K166" s="100"/>
      <c r="L166" s="285"/>
      <c r="M166" s="102"/>
      <c r="N166" s="102"/>
      <c r="O166" s="100"/>
      <c r="P166" s="100"/>
      <c r="Q166" s="100"/>
      <c r="R166" s="100"/>
      <c r="S166" s="100"/>
      <c r="T166" s="101"/>
    </row>
    <row r="167" spans="1:20" ht="13.5">
      <c r="A167" s="318">
        <v>1000</v>
      </c>
      <c r="B167" s="63" t="s">
        <v>49</v>
      </c>
      <c r="C167" s="325">
        <f t="shared" si="24"/>
        <v>1000</v>
      </c>
      <c r="D167" s="318"/>
      <c r="E167" s="319"/>
      <c r="F167" s="336">
        <f t="shared" si="25"/>
        <v>0</v>
      </c>
      <c r="G167" s="171"/>
      <c r="H167" s="100"/>
      <c r="I167" s="100"/>
      <c r="J167" s="100"/>
      <c r="K167" s="100"/>
      <c r="L167" s="285"/>
      <c r="M167" s="102"/>
      <c r="N167" s="102"/>
      <c r="O167" s="100"/>
      <c r="P167" s="100"/>
      <c r="Q167" s="100"/>
      <c r="R167" s="100"/>
      <c r="S167" s="100"/>
      <c r="T167" s="101"/>
    </row>
    <row r="168" spans="1:20" ht="13.5">
      <c r="A168" s="318">
        <v>650</v>
      </c>
      <c r="B168" s="63" t="s">
        <v>45</v>
      </c>
      <c r="C168" s="325">
        <f t="shared" si="24"/>
        <v>650</v>
      </c>
      <c r="D168" s="318"/>
      <c r="E168" s="319"/>
      <c r="F168" s="336">
        <f t="shared" si="25"/>
        <v>0</v>
      </c>
      <c r="G168" s="171"/>
      <c r="H168" s="100"/>
      <c r="I168" s="100"/>
      <c r="J168" s="100"/>
      <c r="K168" s="100"/>
      <c r="L168" s="285"/>
      <c r="M168" s="102"/>
      <c r="N168" s="102"/>
      <c r="O168" s="100"/>
      <c r="P168" s="100"/>
      <c r="Q168" s="100"/>
      <c r="R168" s="100"/>
      <c r="S168" s="100"/>
      <c r="T168" s="101"/>
    </row>
    <row r="169" spans="1:20" ht="14.25" thickBot="1">
      <c r="A169" s="320">
        <v>1000</v>
      </c>
      <c r="B169" s="120" t="s">
        <v>51</v>
      </c>
      <c r="C169" s="327">
        <f t="shared" si="24"/>
        <v>1000</v>
      </c>
      <c r="D169" s="320"/>
      <c r="E169" s="321"/>
      <c r="F169" s="337">
        <f t="shared" si="25"/>
        <v>0</v>
      </c>
      <c r="G169" s="334"/>
      <c r="H169" s="122"/>
      <c r="I169" s="122"/>
      <c r="J169" s="122"/>
      <c r="K169" s="122"/>
      <c r="L169" s="338"/>
      <c r="M169" s="124"/>
      <c r="N169" s="124"/>
      <c r="O169" s="122"/>
      <c r="P169" s="122"/>
      <c r="Q169" s="122"/>
      <c r="R169" s="122"/>
      <c r="S169" s="122"/>
      <c r="T169" s="123"/>
    </row>
    <row r="170" spans="2:20" ht="15" thickBot="1" thickTop="1">
      <c r="B170" s="20" t="s">
        <v>12</v>
      </c>
      <c r="C170" s="55">
        <f>C171-(SUM(C157:C169))</f>
        <v>5050</v>
      </c>
      <c r="D170" s="57"/>
      <c r="E170" s="58"/>
      <c r="F170" s="58"/>
      <c r="G170" s="58"/>
      <c r="H170" s="58"/>
      <c r="I170" s="58"/>
      <c r="J170" s="58"/>
      <c r="K170" s="58"/>
      <c r="L170" s="59"/>
      <c r="M170" s="49">
        <f aca="true" t="shared" si="26" ref="M170:S170">M171-(SUM(M157:M169))</f>
        <v>2</v>
      </c>
      <c r="N170" s="50">
        <f t="shared" si="26"/>
        <v>3</v>
      </c>
      <c r="O170" s="50">
        <f t="shared" si="26"/>
        <v>5</v>
      </c>
      <c r="P170" s="50">
        <f t="shared" si="26"/>
        <v>2</v>
      </c>
      <c r="Q170" s="50">
        <f t="shared" si="26"/>
        <v>4</v>
      </c>
      <c r="R170" s="50">
        <f t="shared" si="26"/>
        <v>3</v>
      </c>
      <c r="S170" s="50">
        <f t="shared" si="26"/>
        <v>2</v>
      </c>
      <c r="T170" s="51">
        <f>(SUM(T157:T169))</f>
        <v>0</v>
      </c>
    </row>
    <row r="171" spans="2:20" ht="15" thickBot="1" thickTop="1">
      <c r="B171" s="21" t="s">
        <v>13</v>
      </c>
      <c r="C171" s="56">
        <v>12000</v>
      </c>
      <c r="D171" s="60"/>
      <c r="E171" s="61"/>
      <c r="F171" s="61"/>
      <c r="G171" s="61"/>
      <c r="H171" s="61"/>
      <c r="I171" s="61"/>
      <c r="J171" s="61"/>
      <c r="K171" s="61"/>
      <c r="L171" s="62"/>
      <c r="M171" s="52">
        <v>9</v>
      </c>
      <c r="N171" s="52">
        <v>3</v>
      </c>
      <c r="O171" s="53">
        <v>5</v>
      </c>
      <c r="P171" s="53">
        <v>2</v>
      </c>
      <c r="Q171" s="53">
        <v>4</v>
      </c>
      <c r="R171" s="53">
        <v>3</v>
      </c>
      <c r="S171" s="53">
        <v>2</v>
      </c>
      <c r="T171" s="54" t="s">
        <v>22</v>
      </c>
    </row>
    <row r="173" spans="2:6" ht="13.5">
      <c r="B173" s="19"/>
      <c r="C173" s="19"/>
      <c r="D173" s="19"/>
      <c r="E173" s="19"/>
      <c r="F173" s="45"/>
    </row>
  </sheetData>
  <mergeCells count="72">
    <mergeCell ref="E3:E4"/>
    <mergeCell ref="F3:L3"/>
    <mergeCell ref="M3:T3"/>
    <mergeCell ref="A2:A18"/>
    <mergeCell ref="C2:D2"/>
    <mergeCell ref="B3:B4"/>
    <mergeCell ref="C3:C4"/>
    <mergeCell ref="D3:D4"/>
    <mergeCell ref="E22:E23"/>
    <mergeCell ref="F22:L22"/>
    <mergeCell ref="M22:T22"/>
    <mergeCell ref="A21:A37"/>
    <mergeCell ref="C21:D21"/>
    <mergeCell ref="B22:B23"/>
    <mergeCell ref="C22:C23"/>
    <mergeCell ref="D22:D23"/>
    <mergeCell ref="E41:E42"/>
    <mergeCell ref="F41:L41"/>
    <mergeCell ref="M41:T41"/>
    <mergeCell ref="A40:A56"/>
    <mergeCell ref="C40:D40"/>
    <mergeCell ref="B41:B42"/>
    <mergeCell ref="C41:C42"/>
    <mergeCell ref="D41:D42"/>
    <mergeCell ref="E60:E61"/>
    <mergeCell ref="F60:L60"/>
    <mergeCell ref="M60:T60"/>
    <mergeCell ref="A59:A75"/>
    <mergeCell ref="C59:D59"/>
    <mergeCell ref="B60:B61"/>
    <mergeCell ref="C60:C61"/>
    <mergeCell ref="D60:D61"/>
    <mergeCell ref="E117:E118"/>
    <mergeCell ref="F117:L117"/>
    <mergeCell ref="M117:T117"/>
    <mergeCell ref="A116:A132"/>
    <mergeCell ref="C116:D116"/>
    <mergeCell ref="B117:B118"/>
    <mergeCell ref="C117:C118"/>
    <mergeCell ref="D117:D118"/>
    <mergeCell ref="M136:T136"/>
    <mergeCell ref="M155:T155"/>
    <mergeCell ref="F155:L155"/>
    <mergeCell ref="D136:D137"/>
    <mergeCell ref="D155:D156"/>
    <mergeCell ref="F136:L136"/>
    <mergeCell ref="E136:E137"/>
    <mergeCell ref="C154:D154"/>
    <mergeCell ref="E155:E156"/>
    <mergeCell ref="A155:A156"/>
    <mergeCell ref="C135:D135"/>
    <mergeCell ref="A135:A151"/>
    <mergeCell ref="B155:B156"/>
    <mergeCell ref="B136:B137"/>
    <mergeCell ref="C136:C137"/>
    <mergeCell ref="C155:C156"/>
    <mergeCell ref="E98:E99"/>
    <mergeCell ref="F98:L98"/>
    <mergeCell ref="M98:T98"/>
    <mergeCell ref="A97:A113"/>
    <mergeCell ref="C97:D97"/>
    <mergeCell ref="B98:B99"/>
    <mergeCell ref="C98:C99"/>
    <mergeCell ref="D98:D99"/>
    <mergeCell ref="E79:E80"/>
    <mergeCell ref="F79:L79"/>
    <mergeCell ref="M79:T79"/>
    <mergeCell ref="A78:A94"/>
    <mergeCell ref="C78:D78"/>
    <mergeCell ref="B79:B80"/>
    <mergeCell ref="C79:C80"/>
    <mergeCell ref="D79:D80"/>
  </mergeCells>
  <dataValidations count="9">
    <dataValidation allowBlank="1" showInputMessage="1" showErrorMessage="1" promptTitle="列車の保有状態" prompt="各列車の保有台数を入力します。" sqref="M157:T169 M138:T150 M119:T131 M100:T112 M81:T93 M62:T74 M43:T55 M24:T36 M5:T17"/>
    <dataValidation allowBlank="1" showInputMessage="1" showErrorMessage="1" promptTitle="支出" prompt="列車を購入した等、小会社が支払った金額を入力します。" sqref="E138:E142 E157:E161 E119:E123 E100:E104 E81:E85 E62:E66 E43:E47 E24:E28 E5:E9"/>
    <dataValidation allowBlank="1" showInputMessage="1" showErrorMessage="1" promptTitle="支出" prompt="列車や個人会社を購入した等、公共会社が支払った金額を入力します。" sqref="E143:E150 E162:E169 E124:E131 E105:E112 E86:E93 E67:E74 E48:E55 E29:E36 E10:E17"/>
    <dataValidation allowBlank="1" showInputMessage="1" showErrorMessage="1" promptTitle="収入" prompt="運営による配当や列車の売却等、公共会社の収入金額を入力します。&#10;設立時の初期資金は、専用項目に入力します。&#10;" sqref="D143:D150 D124:D131 D105:D112 D86:D93 D67:D74 D48:D55 D29:D36 D10:D17"/>
    <dataValidation allowBlank="1" showInputMessage="1" showErrorMessage="1" promptTitle="収入" prompt="運営による配当や列車の売却等、公共会社の収入金額を入力します。&#10;設立時の初期資金は、専用項目に入力します。" sqref="D162:D169"/>
    <dataValidation allowBlank="1" showInputMessage="1" showErrorMessage="1" promptTitle="京都への駅トークン設置状態" prompt="「京阪」による京都への駅トークン設置状態を入力します。&#10;○：京都へ駅トークン設置済み&#10;×：今運営ラウンドで京都へ駅トークン設置&#10;" sqref="L146 L165 L127 L108 L89 L70 L51 L32 L13"/>
    <dataValidation allowBlank="1" showInputMessage="1" showErrorMessage="1" promptTitle="個人会社の所有状態　" prompt="個人会社の所有状態を入力します。&#10;○：所有済み&#10;×：今運営ラウンド中に購入" sqref="G162:K169 G143:K150 G124:K131 G105:K112 G86:K93 G67:K74 G48:K55 G29:K36 G10:K17"/>
    <dataValidation allowBlank="1" showInputMessage="1" showErrorMessage="1" promptTitle="収入" prompt="運営による配当や列車の売却等、小会社の収入金額を入力します。" sqref="D157:D161 D138:D142 D119:D123 D100:D104 D81:D85 D62:D66 D43:D47 D24:D28 D5:D9"/>
    <dataValidation allowBlank="1" showInputMessage="1" showErrorMessage="1" promptTitle="初期資金" prompt="設立時の初期資金をこちらに入力します。" sqref="A162:A169"/>
  </dataValidation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FT89"/>
  <sheetViews>
    <sheetView workbookViewId="0" topLeftCell="A1">
      <pane ySplit="6945" topLeftCell="BM46" activePane="bottomLeft" state="split"/>
      <selection pane="topLeft" activeCell="E28" sqref="E28"/>
      <selection pane="bottomLeft" activeCell="J47" sqref="J47"/>
    </sheetView>
  </sheetViews>
  <sheetFormatPr defaultColWidth="9.00390625" defaultRowHeight="13.5"/>
  <cols>
    <col min="1" max="1" width="2.125" style="1" customWidth="1"/>
    <col min="2" max="2" width="2.875" style="1" bestFit="1" customWidth="1"/>
    <col min="3" max="3" width="12.375" style="1" customWidth="1"/>
    <col min="4" max="11" width="9.00390625" style="1" customWidth="1"/>
    <col min="12" max="12" width="2.125" style="1" customWidth="1"/>
    <col min="13" max="13" width="2.875" style="1" bestFit="1" customWidth="1"/>
    <col min="14" max="14" width="12.375" style="1" customWidth="1"/>
    <col min="15" max="20" width="9.00390625" style="1" customWidth="1"/>
    <col min="21" max="21" width="7.125" style="1" bestFit="1" customWidth="1"/>
    <col min="22" max="22" width="7.00390625" style="1" customWidth="1"/>
    <col min="23" max="23" width="2.125" style="1" customWidth="1"/>
    <col min="24" max="24" width="2.875" style="1" bestFit="1" customWidth="1"/>
    <col min="25" max="25" width="12.375" style="1" customWidth="1"/>
    <col min="26" max="31" width="9.00390625" style="1" customWidth="1"/>
    <col min="32" max="32" width="7.125" style="1" bestFit="1" customWidth="1"/>
    <col min="33" max="33" width="7.00390625" style="1" customWidth="1"/>
    <col min="34" max="34" width="2.125" style="1" customWidth="1"/>
    <col min="35" max="35" width="2.875" style="1" bestFit="1" customWidth="1"/>
    <col min="36" max="36" width="12.375" style="1" customWidth="1"/>
    <col min="37" max="42" width="9.00390625" style="1" customWidth="1"/>
    <col min="43" max="43" width="7.125" style="1" bestFit="1" customWidth="1"/>
    <col min="44" max="44" width="7.00390625" style="1" customWidth="1"/>
    <col min="45" max="45" width="2.125" style="1" customWidth="1"/>
    <col min="46" max="46" width="2.875" style="1" bestFit="1" customWidth="1"/>
    <col min="47" max="47" width="12.375" style="1" customWidth="1"/>
    <col min="48" max="55" width="9.00390625" style="1" customWidth="1"/>
    <col min="56" max="56" width="2.125" style="1" customWidth="1"/>
    <col min="57" max="57" width="2.875" style="1" bestFit="1" customWidth="1"/>
    <col min="58" max="58" width="12.375" style="1" customWidth="1"/>
    <col min="59" max="64" width="9.00390625" style="1" customWidth="1"/>
    <col min="65" max="65" width="7.125" style="1" bestFit="1" customWidth="1"/>
    <col min="66" max="66" width="7.00390625" style="1" customWidth="1"/>
    <col min="67" max="67" width="2.125" style="1" customWidth="1"/>
    <col min="68" max="68" width="2.875" style="1" bestFit="1" customWidth="1"/>
    <col min="69" max="69" width="12.375" style="1" customWidth="1"/>
    <col min="70" max="75" width="9.00390625" style="1" customWidth="1"/>
    <col min="76" max="76" width="7.125" style="1" bestFit="1" customWidth="1"/>
    <col min="77" max="77" width="7.00390625" style="1" customWidth="1"/>
    <col min="78" max="78" width="2.125" style="1" customWidth="1"/>
    <col min="79" max="79" width="2.875" style="1" bestFit="1" customWidth="1"/>
    <col min="80" max="80" width="12.375" style="1" customWidth="1"/>
    <col min="81" max="88" width="9.00390625" style="1" customWidth="1"/>
    <col min="89" max="89" width="2.125" style="1" customWidth="1"/>
    <col min="90" max="90" width="2.875" style="1" bestFit="1" customWidth="1"/>
    <col min="91" max="91" width="12.375" style="1" customWidth="1"/>
    <col min="92" max="97" width="9.00390625" style="1" customWidth="1"/>
    <col min="98" max="98" width="7.125" style="1" bestFit="1" customWidth="1"/>
    <col min="99" max="99" width="7.00390625" style="1" customWidth="1"/>
    <col min="100" max="100" width="2.125" style="1" customWidth="1"/>
    <col min="101" max="101" width="2.875" style="1" bestFit="1" customWidth="1"/>
    <col min="102" max="102" width="12.375" style="1" customWidth="1"/>
    <col min="103" max="110" width="9.00390625" style="1" customWidth="1"/>
    <col min="111" max="111" width="2.125" style="1" customWidth="1"/>
    <col min="112" max="112" width="2.875" style="1" bestFit="1" customWidth="1"/>
    <col min="113" max="113" width="12.375" style="1" customWidth="1"/>
    <col min="114" max="119" width="9.00390625" style="1" customWidth="1"/>
    <col min="120" max="120" width="7.125" style="1" bestFit="1" customWidth="1"/>
    <col min="121" max="121" width="7.00390625" style="1" customWidth="1"/>
    <col min="122" max="122" width="2.125" style="1" customWidth="1"/>
    <col min="123" max="123" width="2.875" style="1" bestFit="1" customWidth="1"/>
    <col min="124" max="124" width="12.375" style="1" customWidth="1"/>
    <col min="125" max="132" width="9.00390625" style="1" customWidth="1"/>
    <col min="133" max="133" width="2.125" style="1" customWidth="1"/>
    <col min="134" max="134" width="2.875" style="1" bestFit="1" customWidth="1"/>
    <col min="135" max="135" width="12.375" style="1" customWidth="1"/>
    <col min="136" max="141" width="9.00390625" style="1" customWidth="1"/>
    <col min="142" max="142" width="7.125" style="1" bestFit="1" customWidth="1"/>
    <col min="143" max="143" width="7.00390625" style="1" customWidth="1"/>
    <col min="144" max="144" width="2.125" style="1" customWidth="1"/>
    <col min="145" max="145" width="2.875" style="1" bestFit="1" customWidth="1"/>
    <col min="146" max="146" width="12.375" style="1" customWidth="1"/>
    <col min="147" max="152" width="9.00390625" style="1" customWidth="1"/>
    <col min="153" max="153" width="9.00390625" style="1" bestFit="1" customWidth="1"/>
    <col min="154" max="154" width="9.00390625" style="1" customWidth="1"/>
    <col min="155" max="155" width="2.125" style="1" customWidth="1"/>
    <col min="156" max="156" width="2.875" style="1" bestFit="1" customWidth="1"/>
    <col min="157" max="157" width="12.375" style="1" customWidth="1"/>
    <col min="158" max="163" width="9.00390625" style="1" customWidth="1"/>
    <col min="164" max="164" width="7.125" style="1" bestFit="1" customWidth="1"/>
    <col min="165" max="165" width="7.00390625" style="1" customWidth="1"/>
    <col min="166" max="166" width="3.625" style="1" customWidth="1"/>
    <col min="167" max="167" width="2.875" style="1" bestFit="1" customWidth="1"/>
    <col min="168" max="168" width="12.375" style="1" bestFit="1" customWidth="1"/>
    <col min="169" max="174" width="9.00390625" style="1" customWidth="1"/>
    <col min="175" max="176" width="9.00390625" style="1" bestFit="1" customWidth="1"/>
    <col min="177" max="16384" width="9.00390625" style="1" customWidth="1"/>
  </cols>
  <sheetData>
    <row r="1" spans="1:165" ht="13.5">
      <c r="A1" s="441" t="s">
        <v>98</v>
      </c>
      <c r="B1" s="442"/>
      <c r="C1" s="442"/>
      <c r="D1" s="442"/>
      <c r="E1" s="442"/>
      <c r="F1" s="442"/>
      <c r="G1" s="442"/>
      <c r="H1" s="442"/>
      <c r="I1" s="442"/>
      <c r="J1" s="442"/>
      <c r="K1" s="443"/>
      <c r="L1" s="441" t="s">
        <v>97</v>
      </c>
      <c r="M1" s="442"/>
      <c r="N1" s="442"/>
      <c r="O1" s="442"/>
      <c r="P1" s="442"/>
      <c r="Q1" s="442"/>
      <c r="R1" s="442"/>
      <c r="S1" s="442"/>
      <c r="T1" s="442"/>
      <c r="U1" s="442"/>
      <c r="V1" s="443"/>
      <c r="W1" s="441" t="s">
        <v>97</v>
      </c>
      <c r="X1" s="442"/>
      <c r="Y1" s="442"/>
      <c r="Z1" s="442"/>
      <c r="AA1" s="442"/>
      <c r="AB1" s="442"/>
      <c r="AC1" s="442"/>
      <c r="AD1" s="442"/>
      <c r="AE1" s="442"/>
      <c r="AF1" s="442"/>
      <c r="AG1" s="443"/>
      <c r="AH1" s="441" t="s">
        <v>97</v>
      </c>
      <c r="AI1" s="442"/>
      <c r="AJ1" s="442"/>
      <c r="AK1" s="442"/>
      <c r="AL1" s="442"/>
      <c r="AM1" s="442"/>
      <c r="AN1" s="442"/>
      <c r="AO1" s="442"/>
      <c r="AP1" s="442"/>
      <c r="AQ1" s="442"/>
      <c r="AR1" s="443"/>
      <c r="AS1" s="441" t="s">
        <v>98</v>
      </c>
      <c r="AT1" s="442"/>
      <c r="AU1" s="442"/>
      <c r="AV1" s="442"/>
      <c r="AW1" s="442"/>
      <c r="AX1" s="442"/>
      <c r="AY1" s="442"/>
      <c r="AZ1" s="442"/>
      <c r="BA1" s="442"/>
      <c r="BB1" s="442"/>
      <c r="BC1" s="443"/>
      <c r="BD1" s="441" t="s">
        <v>97</v>
      </c>
      <c r="BE1" s="442"/>
      <c r="BF1" s="442"/>
      <c r="BG1" s="442"/>
      <c r="BH1" s="442"/>
      <c r="BI1" s="442"/>
      <c r="BJ1" s="442"/>
      <c r="BK1" s="442"/>
      <c r="BL1" s="442"/>
      <c r="BM1" s="442"/>
      <c r="BN1" s="443"/>
      <c r="BO1" s="441" t="s">
        <v>97</v>
      </c>
      <c r="BP1" s="442"/>
      <c r="BQ1" s="442"/>
      <c r="BR1" s="442"/>
      <c r="BS1" s="442"/>
      <c r="BT1" s="442"/>
      <c r="BU1" s="442"/>
      <c r="BV1" s="442"/>
      <c r="BW1" s="442"/>
      <c r="BX1" s="442"/>
      <c r="BY1" s="443"/>
      <c r="BZ1" s="441" t="s">
        <v>98</v>
      </c>
      <c r="CA1" s="442"/>
      <c r="CB1" s="442"/>
      <c r="CC1" s="442"/>
      <c r="CD1" s="442"/>
      <c r="CE1" s="442"/>
      <c r="CF1" s="442"/>
      <c r="CG1" s="442"/>
      <c r="CH1" s="442"/>
      <c r="CI1" s="442"/>
      <c r="CJ1" s="443"/>
      <c r="CK1" s="441" t="s">
        <v>97</v>
      </c>
      <c r="CL1" s="442"/>
      <c r="CM1" s="442"/>
      <c r="CN1" s="442"/>
      <c r="CO1" s="442"/>
      <c r="CP1" s="442"/>
      <c r="CQ1" s="442"/>
      <c r="CR1" s="442"/>
      <c r="CS1" s="442"/>
      <c r="CT1" s="442"/>
      <c r="CU1" s="443"/>
      <c r="CV1" s="441" t="s">
        <v>98</v>
      </c>
      <c r="CW1" s="442"/>
      <c r="CX1" s="442"/>
      <c r="CY1" s="442"/>
      <c r="CZ1" s="442"/>
      <c r="DA1" s="442"/>
      <c r="DB1" s="442"/>
      <c r="DC1" s="442"/>
      <c r="DD1" s="442"/>
      <c r="DE1" s="442"/>
      <c r="DF1" s="443"/>
      <c r="DG1" s="441" t="s">
        <v>97</v>
      </c>
      <c r="DH1" s="442"/>
      <c r="DI1" s="442"/>
      <c r="DJ1" s="442"/>
      <c r="DK1" s="442"/>
      <c r="DL1" s="442"/>
      <c r="DM1" s="442"/>
      <c r="DN1" s="442"/>
      <c r="DO1" s="442"/>
      <c r="DP1" s="442"/>
      <c r="DQ1" s="443"/>
      <c r="DR1" s="441" t="s">
        <v>98</v>
      </c>
      <c r="DS1" s="442"/>
      <c r="DT1" s="442"/>
      <c r="DU1" s="442"/>
      <c r="DV1" s="442"/>
      <c r="DW1" s="442"/>
      <c r="DX1" s="442"/>
      <c r="DY1" s="442"/>
      <c r="DZ1" s="442"/>
      <c r="EA1" s="442"/>
      <c r="EB1" s="443"/>
      <c r="EC1" s="441" t="s">
        <v>97</v>
      </c>
      <c r="ED1" s="442"/>
      <c r="EE1" s="442"/>
      <c r="EF1" s="442"/>
      <c r="EG1" s="442"/>
      <c r="EH1" s="442"/>
      <c r="EI1" s="442"/>
      <c r="EJ1" s="442"/>
      <c r="EK1" s="442"/>
      <c r="EL1" s="442"/>
      <c r="EM1" s="443"/>
      <c r="EN1" s="441" t="s">
        <v>98</v>
      </c>
      <c r="EO1" s="442"/>
      <c r="EP1" s="442"/>
      <c r="EQ1" s="442"/>
      <c r="ER1" s="442"/>
      <c r="ES1" s="442"/>
      <c r="ET1" s="442"/>
      <c r="EU1" s="442"/>
      <c r="EV1" s="442"/>
      <c r="EW1" s="442"/>
      <c r="EX1" s="443"/>
      <c r="EY1" s="441" t="s">
        <v>97</v>
      </c>
      <c r="EZ1" s="442"/>
      <c r="FA1" s="442"/>
      <c r="FB1" s="442"/>
      <c r="FC1" s="442"/>
      <c r="FD1" s="442"/>
      <c r="FE1" s="442"/>
      <c r="FF1" s="442"/>
      <c r="FG1" s="442"/>
      <c r="FH1" s="442"/>
      <c r="FI1" s="443"/>
    </row>
    <row r="2" spans="2:167" ht="14.25" thickBot="1">
      <c r="B2" s="444">
        <f>M2+1</f>
        <v>7</v>
      </c>
      <c r="C2" s="444"/>
      <c r="D2" s="489" t="s">
        <v>93</v>
      </c>
      <c r="E2" s="489"/>
      <c r="M2" s="444">
        <f>IF(ISNUMBER(X2),N(X2),1)</f>
        <v>6</v>
      </c>
      <c r="N2" s="444"/>
      <c r="O2" s="471">
        <f>IF(ISNUMBER(Z2),N(Z2)+1,1)</f>
        <v>3</v>
      </c>
      <c r="P2" s="471"/>
      <c r="X2" s="444">
        <f>IF(ISNUMBER(AI2),N(AI2),1)</f>
        <v>6</v>
      </c>
      <c r="Y2" s="444"/>
      <c r="Z2" s="471">
        <f>IF(ISNUMBER(AK2),N(AK2)+1,1)</f>
        <v>2</v>
      </c>
      <c r="AA2" s="471"/>
      <c r="AI2" s="444">
        <f>IF(ISNUMBER(AT2),N(AT2),1)</f>
        <v>6</v>
      </c>
      <c r="AJ2" s="444"/>
      <c r="AK2" s="471">
        <f>IF(ISNUMBER(AV2),N(AV2)+1,1)</f>
        <v>1</v>
      </c>
      <c r="AL2" s="471"/>
      <c r="AT2" s="444">
        <f>BE2+1</f>
        <v>6</v>
      </c>
      <c r="AU2" s="444"/>
      <c r="AV2" s="489" t="s">
        <v>93</v>
      </c>
      <c r="AW2" s="489"/>
      <c r="BE2" s="444">
        <f>IF(ISNUMBER(BP2),N(BP2),1)</f>
        <v>5</v>
      </c>
      <c r="BF2" s="444"/>
      <c r="BG2" s="471">
        <f>IF(ISNUMBER(BR2),N(BR2)+1,1)</f>
        <v>2</v>
      </c>
      <c r="BH2" s="471"/>
      <c r="BP2" s="444">
        <f>IF(ISNUMBER(CA2),N(CA2),1)</f>
        <v>5</v>
      </c>
      <c r="BQ2" s="444"/>
      <c r="BR2" s="471">
        <f>IF(ISNUMBER(CC2),N(CC2)+1,1)</f>
        <v>1</v>
      </c>
      <c r="BS2" s="471"/>
      <c r="CA2" s="444">
        <f>CL2+1</f>
        <v>5</v>
      </c>
      <c r="CB2" s="444"/>
      <c r="CC2" s="489" t="s">
        <v>93</v>
      </c>
      <c r="CD2" s="489"/>
      <c r="CL2" s="444">
        <f>IF(ISNUMBER(CW2),N(CW2),1)</f>
        <v>4</v>
      </c>
      <c r="CM2" s="444"/>
      <c r="CN2" s="471">
        <f>IF(ISNUMBER(CY2),N(CY2)+1,1)</f>
        <v>1</v>
      </c>
      <c r="CO2" s="471"/>
      <c r="CW2" s="444">
        <f>DH2+1</f>
        <v>4</v>
      </c>
      <c r="CX2" s="444"/>
      <c r="CY2" s="489" t="s">
        <v>93</v>
      </c>
      <c r="CZ2" s="489"/>
      <c r="DH2" s="444">
        <f>IF(ISNUMBER(DS2),N(DS2),1)</f>
        <v>3</v>
      </c>
      <c r="DI2" s="444"/>
      <c r="DJ2" s="471">
        <f>IF(ISNUMBER(DU2),N(DU2)+1,1)</f>
        <v>1</v>
      </c>
      <c r="DK2" s="471"/>
      <c r="DS2" s="444">
        <f>ED2+1</f>
        <v>3</v>
      </c>
      <c r="DT2" s="444"/>
      <c r="DU2" s="489" t="s">
        <v>93</v>
      </c>
      <c r="DV2" s="489"/>
      <c r="ED2" s="444">
        <f>IF(ISNUMBER(EO2),N(EO2),1)</f>
        <v>2</v>
      </c>
      <c r="EE2" s="444"/>
      <c r="EF2" s="471">
        <f>IF(ISNUMBER(EQ2),N(EQ2)+1,1)</f>
        <v>1</v>
      </c>
      <c r="EG2" s="471"/>
      <c r="EO2" s="444">
        <f>EZ2+1</f>
        <v>2</v>
      </c>
      <c r="EP2" s="444"/>
      <c r="EQ2" s="489" t="s">
        <v>93</v>
      </c>
      <c r="ER2" s="489"/>
      <c r="EZ2" s="444">
        <f>IF(ISNUMBER(FK2),N(FK2),1)</f>
        <v>1</v>
      </c>
      <c r="FA2" s="444"/>
      <c r="FB2" s="471">
        <f>IF(ISNUMBER(FM2),N(FM2)+1,1)</f>
        <v>1</v>
      </c>
      <c r="FC2" s="471"/>
      <c r="FK2" s="1" t="s">
        <v>36</v>
      </c>
    </row>
    <row r="3" spans="2:176" ht="14.25" thickBot="1">
      <c r="B3" s="462" t="s">
        <v>0</v>
      </c>
      <c r="C3" s="463"/>
      <c r="D3" s="25" t="str">
        <f>IF(ISBLANK(O3),"",O3)</f>
        <v>投了</v>
      </c>
      <c r="E3" s="23" t="str">
        <f>IF(ISBLANK(P3),"",P3)</f>
        <v>CB様</v>
      </c>
      <c r="F3" s="23" t="str">
        <f>IF(ISBLANK(Q3),"",Q3)</f>
        <v>えび様</v>
      </c>
      <c r="G3" s="23">
        <f>IF(ISBLANK(R3),"",R3)</f>
      </c>
      <c r="H3" s="23">
        <f>IF(ISBLANK(S3),"",S3)</f>
      </c>
      <c r="I3" s="64">
        <f>IF(ISBLANK(T3),"",T3)</f>
      </c>
      <c r="J3" s="212" t="s">
        <v>27</v>
      </c>
      <c r="K3" s="106"/>
      <c r="M3" s="462" t="s">
        <v>0</v>
      </c>
      <c r="N3" s="463"/>
      <c r="O3" s="104" t="str">
        <f aca="true" t="shared" si="0" ref="O3:T3">IF(ISBLANK(Z3),"",Z3)</f>
        <v>投了</v>
      </c>
      <c r="P3" s="23" t="str">
        <f t="shared" si="0"/>
        <v>CB様</v>
      </c>
      <c r="Q3" s="23" t="str">
        <f t="shared" si="0"/>
        <v>えび様</v>
      </c>
      <c r="R3" s="23">
        <f t="shared" si="0"/>
      </c>
      <c r="S3" s="23">
        <f t="shared" si="0"/>
      </c>
      <c r="T3" s="24">
        <f t="shared" si="0"/>
      </c>
      <c r="U3" s="445" t="s">
        <v>27</v>
      </c>
      <c r="V3" s="446"/>
      <c r="X3" s="462" t="s">
        <v>0</v>
      </c>
      <c r="Y3" s="463"/>
      <c r="Z3" s="104" t="str">
        <f aca="true" t="shared" si="1" ref="Z3:AE3">IF(ISBLANK(AK3),"",AK3)</f>
        <v>投了</v>
      </c>
      <c r="AA3" s="23" t="str">
        <f t="shared" si="1"/>
        <v>CB様</v>
      </c>
      <c r="AB3" s="23" t="str">
        <f t="shared" si="1"/>
        <v>えび様</v>
      </c>
      <c r="AC3" s="23">
        <f t="shared" si="1"/>
      </c>
      <c r="AD3" s="23">
        <f t="shared" si="1"/>
      </c>
      <c r="AE3" s="24">
        <f t="shared" si="1"/>
      </c>
      <c r="AF3" s="445" t="s">
        <v>27</v>
      </c>
      <c r="AG3" s="446"/>
      <c r="AI3" s="462" t="s">
        <v>0</v>
      </c>
      <c r="AJ3" s="463"/>
      <c r="AK3" s="104" t="str">
        <f aca="true" t="shared" si="2" ref="AK3:AP3">IF(ISBLANK(AV3),"",AV3)</f>
        <v>投了</v>
      </c>
      <c r="AL3" s="23" t="str">
        <f t="shared" si="2"/>
        <v>CB様</v>
      </c>
      <c r="AM3" s="23" t="str">
        <f t="shared" si="2"/>
        <v>えび様</v>
      </c>
      <c r="AN3" s="23">
        <f t="shared" si="2"/>
      </c>
      <c r="AO3" s="23">
        <f t="shared" si="2"/>
      </c>
      <c r="AP3" s="24">
        <f t="shared" si="2"/>
      </c>
      <c r="AQ3" s="445" t="s">
        <v>27</v>
      </c>
      <c r="AR3" s="446"/>
      <c r="AT3" s="462" t="s">
        <v>0</v>
      </c>
      <c r="AU3" s="463"/>
      <c r="AV3" s="25" t="str">
        <f aca="true" t="shared" si="3" ref="AV3:BA3">IF(ISBLANK(BG3),"",BG3)</f>
        <v>投了</v>
      </c>
      <c r="AW3" s="23" t="str">
        <f t="shared" si="3"/>
        <v>CB様</v>
      </c>
      <c r="AX3" s="23" t="str">
        <f t="shared" si="3"/>
        <v>えび様</v>
      </c>
      <c r="AY3" s="23">
        <f t="shared" si="3"/>
      </c>
      <c r="AZ3" s="23">
        <f t="shared" si="3"/>
      </c>
      <c r="BA3" s="64">
        <f t="shared" si="3"/>
      </c>
      <c r="BB3" s="212" t="s">
        <v>27</v>
      </c>
      <c r="BC3" s="106"/>
      <c r="BE3" s="462" t="s">
        <v>0</v>
      </c>
      <c r="BF3" s="463"/>
      <c r="BG3" s="104" t="str">
        <f aca="true" t="shared" si="4" ref="BG3:BL3">IF(ISBLANK(BR3),"",BR3)</f>
        <v>投了</v>
      </c>
      <c r="BH3" s="23" t="str">
        <f t="shared" si="4"/>
        <v>CB様</v>
      </c>
      <c r="BI3" s="23" t="str">
        <f t="shared" si="4"/>
        <v>えび様</v>
      </c>
      <c r="BJ3" s="23">
        <f t="shared" si="4"/>
      </c>
      <c r="BK3" s="23">
        <f t="shared" si="4"/>
      </c>
      <c r="BL3" s="24">
        <f t="shared" si="4"/>
      </c>
      <c r="BM3" s="445" t="s">
        <v>27</v>
      </c>
      <c r="BN3" s="446"/>
      <c r="BP3" s="462" t="s">
        <v>0</v>
      </c>
      <c r="BQ3" s="463"/>
      <c r="BR3" s="104" t="str">
        <f aca="true" t="shared" si="5" ref="BR3:BW3">IF(ISBLANK(CC3),"",CC3)</f>
        <v>投了</v>
      </c>
      <c r="BS3" s="23" t="str">
        <f t="shared" si="5"/>
        <v>CB様</v>
      </c>
      <c r="BT3" s="23" t="str">
        <f t="shared" si="5"/>
        <v>えび様</v>
      </c>
      <c r="BU3" s="23">
        <f t="shared" si="5"/>
      </c>
      <c r="BV3" s="23">
        <f t="shared" si="5"/>
      </c>
      <c r="BW3" s="24">
        <f t="shared" si="5"/>
      </c>
      <c r="BX3" s="445" t="s">
        <v>27</v>
      </c>
      <c r="BY3" s="446"/>
      <c r="CA3" s="462" t="s">
        <v>0</v>
      </c>
      <c r="CB3" s="463"/>
      <c r="CC3" s="25" t="str">
        <f aca="true" t="shared" si="6" ref="CC3:CH3">IF(ISBLANK(CN3),"",CN3)</f>
        <v>投了</v>
      </c>
      <c r="CD3" s="23" t="str">
        <f t="shared" si="6"/>
        <v>CB様</v>
      </c>
      <c r="CE3" s="23" t="str">
        <f t="shared" si="6"/>
        <v>えび様</v>
      </c>
      <c r="CF3" s="23">
        <f t="shared" si="6"/>
      </c>
      <c r="CG3" s="23">
        <f t="shared" si="6"/>
      </c>
      <c r="CH3" s="64">
        <f t="shared" si="6"/>
      </c>
      <c r="CI3" s="212" t="s">
        <v>27</v>
      </c>
      <c r="CJ3" s="106"/>
      <c r="CL3" s="462" t="s">
        <v>0</v>
      </c>
      <c r="CM3" s="463"/>
      <c r="CN3" s="104" t="str">
        <f aca="true" t="shared" si="7" ref="CN3:CS3">IF(ISBLANK(CY3),"",CY3)</f>
        <v>投了</v>
      </c>
      <c r="CO3" s="23" t="str">
        <f t="shared" si="7"/>
        <v>CB様</v>
      </c>
      <c r="CP3" s="23" t="str">
        <f t="shared" si="7"/>
        <v>えび様</v>
      </c>
      <c r="CQ3" s="23">
        <f t="shared" si="7"/>
      </c>
      <c r="CR3" s="23">
        <f t="shared" si="7"/>
      </c>
      <c r="CS3" s="24">
        <f t="shared" si="7"/>
      </c>
      <c r="CT3" s="445" t="s">
        <v>27</v>
      </c>
      <c r="CU3" s="446"/>
      <c r="CW3" s="462" t="s">
        <v>0</v>
      </c>
      <c r="CX3" s="463"/>
      <c r="CY3" s="25" t="str">
        <f aca="true" t="shared" si="8" ref="CY3:DD3">IF(ISBLANK(DJ3),"",DJ3)</f>
        <v>投了</v>
      </c>
      <c r="CZ3" s="23" t="str">
        <f t="shared" si="8"/>
        <v>CB様</v>
      </c>
      <c r="DA3" s="23" t="str">
        <f t="shared" si="8"/>
        <v>えび様</v>
      </c>
      <c r="DB3" s="23">
        <f t="shared" si="8"/>
      </c>
      <c r="DC3" s="23">
        <f t="shared" si="8"/>
      </c>
      <c r="DD3" s="64">
        <f t="shared" si="8"/>
      </c>
      <c r="DE3" s="212" t="s">
        <v>27</v>
      </c>
      <c r="DF3" s="106"/>
      <c r="DH3" s="505" t="s">
        <v>0</v>
      </c>
      <c r="DI3" s="516"/>
      <c r="DJ3" s="104" t="str">
        <f aca="true" t="shared" si="9" ref="DJ3:DO3">IF(ISBLANK(DU3),"",DU3)</f>
        <v>投了</v>
      </c>
      <c r="DK3" s="23" t="str">
        <f t="shared" si="9"/>
        <v>CB様</v>
      </c>
      <c r="DL3" s="23" t="str">
        <f t="shared" si="9"/>
        <v>えび様</v>
      </c>
      <c r="DM3" s="23">
        <f t="shared" si="9"/>
      </c>
      <c r="DN3" s="23">
        <f t="shared" si="9"/>
      </c>
      <c r="DO3" s="24">
        <f t="shared" si="9"/>
      </c>
      <c r="DP3" s="539" t="s">
        <v>27</v>
      </c>
      <c r="DQ3" s="446"/>
      <c r="DS3" s="505" t="s">
        <v>0</v>
      </c>
      <c r="DT3" s="506"/>
      <c r="DU3" s="25" t="str">
        <f aca="true" t="shared" si="10" ref="DU3:DZ3">IF(ISBLANK(EF3),"",EF3)</f>
        <v>投了</v>
      </c>
      <c r="DV3" s="23" t="str">
        <f t="shared" si="10"/>
        <v>CB様</v>
      </c>
      <c r="DW3" s="23" t="str">
        <f t="shared" si="10"/>
        <v>えび様</v>
      </c>
      <c r="DX3" s="23">
        <f t="shared" si="10"/>
      </c>
      <c r="DY3" s="23">
        <f t="shared" si="10"/>
      </c>
      <c r="DZ3" s="64">
        <f t="shared" si="10"/>
      </c>
      <c r="EA3" s="212" t="s">
        <v>27</v>
      </c>
      <c r="EB3" s="106"/>
      <c r="ED3" s="505" t="s">
        <v>0</v>
      </c>
      <c r="EE3" s="516"/>
      <c r="EF3" s="104" t="str">
        <f aca="true" t="shared" si="11" ref="EF3:EK3">IF(ISBLANK(EQ3),"",EQ3)</f>
        <v>投了</v>
      </c>
      <c r="EG3" s="23" t="str">
        <f t="shared" si="11"/>
        <v>CB様</v>
      </c>
      <c r="EH3" s="23" t="str">
        <f t="shared" si="11"/>
        <v>えび様</v>
      </c>
      <c r="EI3" s="23">
        <f t="shared" si="11"/>
      </c>
      <c r="EJ3" s="23">
        <f t="shared" si="11"/>
      </c>
      <c r="EK3" s="24">
        <f t="shared" si="11"/>
      </c>
      <c r="EL3" s="539" t="s">
        <v>27</v>
      </c>
      <c r="EM3" s="446"/>
      <c r="EO3" s="505" t="s">
        <v>0</v>
      </c>
      <c r="EP3" s="506"/>
      <c r="EQ3" s="25" t="str">
        <f aca="true" t="shared" si="12" ref="EQ3:EV3">IF(ISBLANK(FB3),"",FB3)</f>
        <v>投了</v>
      </c>
      <c r="ER3" s="23" t="str">
        <f t="shared" si="12"/>
        <v>CB様</v>
      </c>
      <c r="ES3" s="23" t="str">
        <f t="shared" si="12"/>
        <v>えび様</v>
      </c>
      <c r="ET3" s="23">
        <f t="shared" si="12"/>
      </c>
      <c r="EU3" s="23">
        <f t="shared" si="12"/>
      </c>
      <c r="EV3" s="64">
        <f t="shared" si="12"/>
      </c>
      <c r="EW3" s="212" t="s">
        <v>27</v>
      </c>
      <c r="EX3" s="106"/>
      <c r="EZ3" s="505" t="s">
        <v>0</v>
      </c>
      <c r="FA3" s="516"/>
      <c r="FB3" s="104" t="str">
        <f aca="true" t="shared" si="13" ref="FB3:FG3">IF(ISBLANK(FM3),"",FM3)</f>
        <v>投了</v>
      </c>
      <c r="FC3" s="23" t="str">
        <f t="shared" si="13"/>
        <v>CB様</v>
      </c>
      <c r="FD3" s="23" t="str">
        <f t="shared" si="13"/>
        <v>えび様</v>
      </c>
      <c r="FE3" s="23">
        <f t="shared" si="13"/>
      </c>
      <c r="FF3" s="23">
        <f t="shared" si="13"/>
      </c>
      <c r="FG3" s="24">
        <f t="shared" si="13"/>
      </c>
      <c r="FH3" s="539" t="s">
        <v>27</v>
      </c>
      <c r="FI3" s="446"/>
      <c r="FK3" s="533" t="s">
        <v>0</v>
      </c>
      <c r="FL3" s="534"/>
      <c r="FM3" s="148" t="s">
        <v>70</v>
      </c>
      <c r="FN3" s="86" t="s">
        <v>197</v>
      </c>
      <c r="FO3" s="86" t="s">
        <v>198</v>
      </c>
      <c r="FP3" s="86"/>
      <c r="FQ3" s="86"/>
      <c r="FR3" s="87"/>
      <c r="FS3" s="531" t="s">
        <v>32</v>
      </c>
      <c r="FT3" s="532"/>
    </row>
    <row r="4" spans="2:176" ht="14.25" thickBot="1">
      <c r="B4" s="458" t="s">
        <v>3</v>
      </c>
      <c r="C4" s="459"/>
      <c r="D4" s="28">
        <f>IF(D3="","",D5+D6)</f>
        <v>2604</v>
      </c>
      <c r="E4" s="28">
        <f>IF(E3="","",E5+E6)</f>
        <v>2397</v>
      </c>
      <c r="F4" s="28">
        <f>IF(F3="","",F5+F6)</f>
        <v>1740</v>
      </c>
      <c r="G4" s="28">
        <f>IF(G3="","",G5+G6)</f>
      </c>
      <c r="H4" s="28">
        <f>IF(H3="","",H5+H6)</f>
      </c>
      <c r="I4" s="211">
        <f>IF(I3="","",I5+I6)</f>
      </c>
      <c r="J4" s="213"/>
      <c r="K4" s="106"/>
      <c r="M4" s="458" t="s">
        <v>3</v>
      </c>
      <c r="N4" s="459"/>
      <c r="O4" s="71">
        <f aca="true" t="shared" si="14" ref="O4:T4">IF(O3="","",O5+O6)</f>
        <v>2604</v>
      </c>
      <c r="P4" s="310">
        <f t="shared" si="14"/>
        <v>2397</v>
      </c>
      <c r="Q4" s="310">
        <f t="shared" si="14"/>
        <v>1740</v>
      </c>
      <c r="R4" s="310">
        <f t="shared" si="14"/>
      </c>
      <c r="S4" s="310">
        <f t="shared" si="14"/>
      </c>
      <c r="T4" s="27">
        <f t="shared" si="14"/>
      </c>
      <c r="U4" s="480"/>
      <c r="V4" s="481"/>
      <c r="X4" s="458" t="s">
        <v>3</v>
      </c>
      <c r="Y4" s="459"/>
      <c r="Z4" s="71">
        <f aca="true" t="shared" si="15" ref="Z4:AE4">IF(Z3="","",Z5+Z6)</f>
        <v>1383</v>
      </c>
      <c r="AA4" s="310">
        <f t="shared" si="15"/>
        <v>1651</v>
      </c>
      <c r="AB4" s="310">
        <f t="shared" si="15"/>
        <v>1461</v>
      </c>
      <c r="AC4" s="310">
        <f t="shared" si="15"/>
      </c>
      <c r="AD4" s="310">
        <f t="shared" si="15"/>
      </c>
      <c r="AE4" s="27">
        <f t="shared" si="15"/>
      </c>
      <c r="AF4" s="480"/>
      <c r="AG4" s="481"/>
      <c r="AI4" s="458" t="s">
        <v>3</v>
      </c>
      <c r="AJ4" s="459"/>
      <c r="AK4" s="71">
        <f aca="true" t="shared" si="16" ref="AK4:AP4">IF(AK3="","",AK5+AK6)</f>
        <v>1366</v>
      </c>
      <c r="AL4" s="310">
        <f t="shared" si="16"/>
        <v>1662</v>
      </c>
      <c r="AM4" s="310">
        <f t="shared" si="16"/>
        <v>1395</v>
      </c>
      <c r="AN4" s="310">
        <f t="shared" si="16"/>
      </c>
      <c r="AO4" s="310">
        <f t="shared" si="16"/>
      </c>
      <c r="AP4" s="27">
        <f t="shared" si="16"/>
      </c>
      <c r="AQ4" s="480"/>
      <c r="AR4" s="481"/>
      <c r="AT4" s="458" t="s">
        <v>3</v>
      </c>
      <c r="AU4" s="459"/>
      <c r="AV4" s="28">
        <f aca="true" t="shared" si="17" ref="AV4:BA4">IF(AV3="","",AV5+AV6)</f>
        <v>2064</v>
      </c>
      <c r="AW4" s="28">
        <f t="shared" si="17"/>
        <v>1687</v>
      </c>
      <c r="AX4" s="28">
        <f t="shared" si="17"/>
        <v>1300</v>
      </c>
      <c r="AY4" s="28">
        <f t="shared" si="17"/>
      </c>
      <c r="AZ4" s="28">
        <f t="shared" si="17"/>
      </c>
      <c r="BA4" s="211">
        <f t="shared" si="17"/>
      </c>
      <c r="BB4" s="213"/>
      <c r="BC4" s="106"/>
      <c r="BE4" s="458" t="s">
        <v>3</v>
      </c>
      <c r="BF4" s="459"/>
      <c r="BG4" s="71">
        <f aca="true" t="shared" si="18" ref="BG4:BL4">IF(BG3="","",BG5+BG6)</f>
        <v>2119</v>
      </c>
      <c r="BH4" s="310">
        <f t="shared" si="18"/>
        <v>1912</v>
      </c>
      <c r="BI4" s="310">
        <f t="shared" si="18"/>
        <v>1315</v>
      </c>
      <c r="BJ4" s="310">
        <f t="shared" si="18"/>
      </c>
      <c r="BK4" s="310">
        <f t="shared" si="18"/>
      </c>
      <c r="BL4" s="27">
        <f t="shared" si="18"/>
      </c>
      <c r="BM4" s="480"/>
      <c r="BN4" s="481"/>
      <c r="BP4" s="458" t="s">
        <v>3</v>
      </c>
      <c r="BQ4" s="459"/>
      <c r="BR4" s="71">
        <f aca="true" t="shared" si="19" ref="BR4:BW4">IF(BR3="","",BR5+BR6)</f>
        <v>1854</v>
      </c>
      <c r="BS4" s="310">
        <f t="shared" si="19"/>
        <v>1657</v>
      </c>
      <c r="BT4" s="310">
        <f t="shared" si="19"/>
        <v>1312</v>
      </c>
      <c r="BU4" s="310">
        <f t="shared" si="19"/>
      </c>
      <c r="BV4" s="310">
        <f t="shared" si="19"/>
      </c>
      <c r="BW4" s="27">
        <f t="shared" si="19"/>
      </c>
      <c r="BX4" s="480"/>
      <c r="BY4" s="481"/>
      <c r="CA4" s="458" t="s">
        <v>3</v>
      </c>
      <c r="CB4" s="459"/>
      <c r="CC4" s="28">
        <f aca="true" t="shared" si="20" ref="CC4:CH4">IF(CC3="","",CC5+CC6)</f>
        <v>1539</v>
      </c>
      <c r="CD4" s="28">
        <f t="shared" si="20"/>
        <v>1502</v>
      </c>
      <c r="CE4" s="28">
        <f t="shared" si="20"/>
        <v>1256</v>
      </c>
      <c r="CF4" s="28">
        <f t="shared" si="20"/>
      </c>
      <c r="CG4" s="28">
        <f t="shared" si="20"/>
      </c>
      <c r="CH4" s="211">
        <f t="shared" si="20"/>
      </c>
      <c r="CI4" s="213"/>
      <c r="CJ4" s="106"/>
      <c r="CL4" s="458" t="s">
        <v>3</v>
      </c>
      <c r="CM4" s="459"/>
      <c r="CN4" s="71">
        <f aca="true" t="shared" si="21" ref="CN4:CS4">IF(CN3="","",CN5+CN6)</f>
        <v>1654</v>
      </c>
      <c r="CO4" s="310">
        <f t="shared" si="21"/>
        <v>1512</v>
      </c>
      <c r="CP4" s="310">
        <f t="shared" si="21"/>
        <v>1291</v>
      </c>
      <c r="CQ4" s="310">
        <f t="shared" si="21"/>
      </c>
      <c r="CR4" s="310">
        <f t="shared" si="21"/>
      </c>
      <c r="CS4" s="27">
        <f t="shared" si="21"/>
      </c>
      <c r="CT4" s="480"/>
      <c r="CU4" s="481"/>
      <c r="CW4" s="458" t="s">
        <v>3</v>
      </c>
      <c r="CX4" s="459"/>
      <c r="CY4" s="28">
        <f aca="true" t="shared" si="22" ref="CY4:DD4">IF(CY3="","",CY5+CY6)</f>
        <v>1319</v>
      </c>
      <c r="CZ4" s="28">
        <f t="shared" si="22"/>
        <v>1110</v>
      </c>
      <c r="DA4" s="28">
        <f t="shared" si="22"/>
        <v>1088</v>
      </c>
      <c r="DB4" s="28">
        <f t="shared" si="22"/>
      </c>
      <c r="DC4" s="28">
        <f t="shared" si="22"/>
      </c>
      <c r="DD4" s="211">
        <f t="shared" si="22"/>
      </c>
      <c r="DE4" s="213"/>
      <c r="DF4" s="106"/>
      <c r="DH4" s="497" t="s">
        <v>3</v>
      </c>
      <c r="DI4" s="515"/>
      <c r="DJ4" s="71">
        <f aca="true" t="shared" si="23" ref="DJ4:DO4">IF(DJ3="","",DJ5+DJ6)</f>
        <v>1449</v>
      </c>
      <c r="DK4" s="310">
        <f t="shared" si="23"/>
        <v>1200</v>
      </c>
      <c r="DL4" s="310">
        <f t="shared" si="23"/>
        <v>1098</v>
      </c>
      <c r="DM4" s="310">
        <f t="shared" si="23"/>
      </c>
      <c r="DN4" s="310">
        <f t="shared" si="23"/>
      </c>
      <c r="DO4" s="27">
        <f t="shared" si="23"/>
      </c>
      <c r="DP4" s="540"/>
      <c r="DQ4" s="481"/>
      <c r="DS4" s="497" t="s">
        <v>3</v>
      </c>
      <c r="DT4" s="498"/>
      <c r="DU4" s="28">
        <f aca="true" t="shared" si="24" ref="DU4:DZ4">IF(DU3="","",DU5+DU6)</f>
        <v>1202</v>
      </c>
      <c r="DV4" s="28">
        <f t="shared" si="24"/>
        <v>1045</v>
      </c>
      <c r="DW4" s="28">
        <f t="shared" si="24"/>
        <v>960</v>
      </c>
      <c r="DX4" s="28">
        <f t="shared" si="24"/>
      </c>
      <c r="DY4" s="28">
        <f t="shared" si="24"/>
      </c>
      <c r="DZ4" s="211">
        <f t="shared" si="24"/>
      </c>
      <c r="EA4" s="213"/>
      <c r="EB4" s="106"/>
      <c r="ED4" s="497" t="s">
        <v>3</v>
      </c>
      <c r="EE4" s="515"/>
      <c r="EF4" s="71">
        <f aca="true" t="shared" si="25" ref="EF4:EK4">IF(EF3="","",EF5+EF6)</f>
        <v>1202</v>
      </c>
      <c r="EG4" s="310">
        <f t="shared" si="25"/>
        <v>1045</v>
      </c>
      <c r="EH4" s="310">
        <f t="shared" si="25"/>
        <v>960</v>
      </c>
      <c r="EI4" s="310">
        <f t="shared" si="25"/>
      </c>
      <c r="EJ4" s="310">
        <f t="shared" si="25"/>
      </c>
      <c r="EK4" s="27">
        <f t="shared" si="25"/>
      </c>
      <c r="EL4" s="540"/>
      <c r="EM4" s="481"/>
      <c r="EO4" s="497" t="s">
        <v>3</v>
      </c>
      <c r="EP4" s="498"/>
      <c r="EQ4" s="28">
        <f aca="true" t="shared" si="26" ref="EQ4:EV4">IF(EQ3="","",EQ5+EQ6)</f>
        <v>1005</v>
      </c>
      <c r="ER4" s="28">
        <f t="shared" si="26"/>
        <v>890</v>
      </c>
      <c r="ES4" s="28">
        <f t="shared" si="26"/>
        <v>845</v>
      </c>
      <c r="ET4" s="28">
        <f t="shared" si="26"/>
      </c>
      <c r="EU4" s="28">
        <f t="shared" si="26"/>
      </c>
      <c r="EV4" s="211">
        <f t="shared" si="26"/>
      </c>
      <c r="EW4" s="213"/>
      <c r="EX4" s="106"/>
      <c r="EZ4" s="497" t="s">
        <v>3</v>
      </c>
      <c r="FA4" s="515"/>
      <c r="FB4" s="71">
        <f aca="true" t="shared" si="27" ref="FB4:FG4">IF(FB3="","",FB5+FB6)</f>
        <v>1010</v>
      </c>
      <c r="FC4" s="310">
        <f t="shared" si="27"/>
        <v>890</v>
      </c>
      <c r="FD4" s="310">
        <f t="shared" si="27"/>
        <v>845</v>
      </c>
      <c r="FE4" s="310">
        <f t="shared" si="27"/>
      </c>
      <c r="FF4" s="310">
        <f t="shared" si="27"/>
      </c>
      <c r="FG4" s="27">
        <f t="shared" si="27"/>
      </c>
      <c r="FH4" s="540"/>
      <c r="FI4" s="481"/>
      <c r="FK4" s="535" t="s">
        <v>3</v>
      </c>
      <c r="FL4" s="536"/>
      <c r="FM4" s="141">
        <f aca="true" t="shared" si="28" ref="FM4:FR4">IF(ISBLANK(FM3),"",FM5+FM6)</f>
        <v>970</v>
      </c>
      <c r="FN4" s="141">
        <f t="shared" si="28"/>
        <v>915</v>
      </c>
      <c r="FO4" s="141">
        <f t="shared" si="28"/>
        <v>820</v>
      </c>
      <c r="FP4" s="141">
        <f t="shared" si="28"/>
      </c>
      <c r="FQ4" s="141">
        <f t="shared" si="28"/>
      </c>
      <c r="FR4" s="78">
        <f t="shared" si="28"/>
      </c>
      <c r="FS4" s="527">
        <v>2520</v>
      </c>
      <c r="FT4" s="528"/>
    </row>
    <row r="5" spans="2:176" ht="13.5">
      <c r="B5" s="447" t="s">
        <v>73</v>
      </c>
      <c r="C5" s="448"/>
      <c r="D5" s="26">
        <f>IF(D3="","",O5-D26)</f>
        <v>1244</v>
      </c>
      <c r="E5" s="26">
        <f>IF(E3="","",P5-E26)</f>
        <v>877</v>
      </c>
      <c r="F5" s="26">
        <f>IF(F3="","",Q5-F26)</f>
        <v>605</v>
      </c>
      <c r="G5" s="26">
        <f>IF(G3="","",R5-G26)</f>
      </c>
      <c r="H5" s="26">
        <f>IF(H3="","",S5-H26)</f>
      </c>
      <c r="I5" s="26">
        <f>IF(I3="","",T5-I26)</f>
      </c>
      <c r="J5" s="214">
        <f>SUM(D5:I5)</f>
        <v>2726</v>
      </c>
      <c r="K5" s="106"/>
      <c r="M5" s="447" t="s">
        <v>73</v>
      </c>
      <c r="N5" s="448"/>
      <c r="O5" s="29">
        <f aca="true" t="shared" si="29" ref="O5:T5">IF(O3="","",Z5+O8-O7)</f>
        <v>1244</v>
      </c>
      <c r="P5" s="17">
        <f t="shared" si="29"/>
        <v>877</v>
      </c>
      <c r="Q5" s="17">
        <f t="shared" si="29"/>
        <v>605</v>
      </c>
      <c r="R5" s="17">
        <f t="shared" si="29"/>
      </c>
      <c r="S5" s="17">
        <f t="shared" si="29"/>
      </c>
      <c r="T5" s="18">
        <f t="shared" si="29"/>
      </c>
      <c r="U5" s="449">
        <f>SUM(O5:T5)</f>
        <v>2726</v>
      </c>
      <c r="V5" s="450"/>
      <c r="X5" s="447" t="s">
        <v>73</v>
      </c>
      <c r="Y5" s="448"/>
      <c r="Z5" s="29">
        <f aca="true" t="shared" si="30" ref="Z5:AE5">IF(Z3="","",AK5+Z8-Z7)</f>
        <v>113</v>
      </c>
      <c r="AA5" s="17">
        <f t="shared" si="30"/>
        <v>191</v>
      </c>
      <c r="AB5" s="17">
        <f t="shared" si="30"/>
        <v>316</v>
      </c>
      <c r="AC5" s="17">
        <f t="shared" si="30"/>
      </c>
      <c r="AD5" s="17">
        <f t="shared" si="30"/>
      </c>
      <c r="AE5" s="18">
        <f t="shared" si="30"/>
      </c>
      <c r="AF5" s="449">
        <f>SUM(Z5:AE5)</f>
        <v>620</v>
      </c>
      <c r="AG5" s="450"/>
      <c r="AI5" s="447" t="s">
        <v>73</v>
      </c>
      <c r="AJ5" s="448"/>
      <c r="AK5" s="29">
        <f aca="true" t="shared" si="31" ref="AK5:AP5">IF(AK3="","",AV5+AK8-AK7)</f>
        <v>11</v>
      </c>
      <c r="AL5" s="17">
        <f t="shared" si="31"/>
        <v>122</v>
      </c>
      <c r="AM5" s="17">
        <f t="shared" si="31"/>
        <v>195</v>
      </c>
      <c r="AN5" s="17">
        <f t="shared" si="31"/>
      </c>
      <c r="AO5" s="17">
        <f t="shared" si="31"/>
      </c>
      <c r="AP5" s="18">
        <f t="shared" si="31"/>
      </c>
      <c r="AQ5" s="449">
        <f>SUM(AK5:AP5)</f>
        <v>328</v>
      </c>
      <c r="AR5" s="450"/>
      <c r="AT5" s="447" t="s">
        <v>73</v>
      </c>
      <c r="AU5" s="448"/>
      <c r="AV5" s="26">
        <f aca="true" t="shared" si="32" ref="AV5:BA5">IF(AV3="","",BG5-AV26)</f>
        <v>74</v>
      </c>
      <c r="AW5" s="26">
        <f t="shared" si="32"/>
        <v>52</v>
      </c>
      <c r="AX5" s="26">
        <f t="shared" si="32"/>
        <v>10</v>
      </c>
      <c r="AY5" s="26">
        <f t="shared" si="32"/>
      </c>
      <c r="AZ5" s="26">
        <f t="shared" si="32"/>
      </c>
      <c r="BA5" s="26">
        <f t="shared" si="32"/>
      </c>
      <c r="BB5" s="214">
        <f>SUM(AV5:BA5)</f>
        <v>136</v>
      </c>
      <c r="BC5" s="106"/>
      <c r="BE5" s="447" t="s">
        <v>73</v>
      </c>
      <c r="BF5" s="448"/>
      <c r="BG5" s="29">
        <f aca="true" t="shared" si="33" ref="BG5:BL5">IF(BG3="","",BR5+BG8-BG7)</f>
        <v>529</v>
      </c>
      <c r="BH5" s="17">
        <f t="shared" si="33"/>
        <v>422</v>
      </c>
      <c r="BI5" s="17">
        <f t="shared" si="33"/>
        <v>175</v>
      </c>
      <c r="BJ5" s="17">
        <f t="shared" si="33"/>
      </c>
      <c r="BK5" s="17">
        <f t="shared" si="33"/>
      </c>
      <c r="BL5" s="18">
        <f t="shared" si="33"/>
      </c>
      <c r="BM5" s="449">
        <f>SUM(BG5:BL5)</f>
        <v>1126</v>
      </c>
      <c r="BN5" s="450"/>
      <c r="BP5" s="447" t="s">
        <v>73</v>
      </c>
      <c r="BQ5" s="448"/>
      <c r="BR5" s="29">
        <f aca="true" t="shared" si="34" ref="BR5:BW5">IF(BR3="","",CC5+BR8-BR7)</f>
        <v>319</v>
      </c>
      <c r="BS5" s="17">
        <f t="shared" si="34"/>
        <v>207</v>
      </c>
      <c r="BT5" s="17">
        <f t="shared" si="34"/>
        <v>167</v>
      </c>
      <c r="BU5" s="17">
        <f t="shared" si="34"/>
      </c>
      <c r="BV5" s="17">
        <f t="shared" si="34"/>
      </c>
      <c r="BW5" s="18">
        <f t="shared" si="34"/>
      </c>
      <c r="BX5" s="449">
        <f>SUM(BR5:BW5)</f>
        <v>693</v>
      </c>
      <c r="BY5" s="450"/>
      <c r="CA5" s="447" t="s">
        <v>73</v>
      </c>
      <c r="CB5" s="448"/>
      <c r="CC5" s="26">
        <f aca="true" t="shared" si="35" ref="CC5:CH5">IF(CC3="","",CN5-CC26)</f>
        <v>69</v>
      </c>
      <c r="CD5" s="26">
        <f t="shared" si="35"/>
        <v>42</v>
      </c>
      <c r="CE5" s="26">
        <f t="shared" si="35"/>
        <v>76</v>
      </c>
      <c r="CF5" s="26">
        <f t="shared" si="35"/>
      </c>
      <c r="CG5" s="26">
        <f t="shared" si="35"/>
      </c>
      <c r="CH5" s="26">
        <f t="shared" si="35"/>
      </c>
      <c r="CI5" s="214">
        <f>SUM(CC5:CH5)</f>
        <v>187</v>
      </c>
      <c r="CJ5" s="106"/>
      <c r="CL5" s="447" t="s">
        <v>73</v>
      </c>
      <c r="CM5" s="448"/>
      <c r="CN5" s="29">
        <f aca="true" t="shared" si="36" ref="CN5:CS5">IF(CN3="","",CY5+CN8-CN7)</f>
        <v>624</v>
      </c>
      <c r="CO5" s="17">
        <f t="shared" si="36"/>
        <v>552</v>
      </c>
      <c r="CP5" s="17">
        <f t="shared" si="36"/>
        <v>351</v>
      </c>
      <c r="CQ5" s="17">
        <f t="shared" si="36"/>
      </c>
      <c r="CR5" s="17">
        <f t="shared" si="36"/>
      </c>
      <c r="CS5" s="18">
        <f t="shared" si="36"/>
      </c>
      <c r="CT5" s="449">
        <f>SUM(CN5:CS5)</f>
        <v>1527</v>
      </c>
      <c r="CU5" s="450"/>
      <c r="CW5" s="447" t="s">
        <v>73</v>
      </c>
      <c r="CX5" s="448"/>
      <c r="CY5" s="26">
        <f aca="true" t="shared" si="37" ref="CY5:DD5">IF(CY3="","",DJ5-CY26)</f>
        <v>94</v>
      </c>
      <c r="CZ5" s="26">
        <f t="shared" si="37"/>
        <v>20</v>
      </c>
      <c r="DA5" s="26">
        <f t="shared" si="37"/>
        <v>23</v>
      </c>
      <c r="DB5" s="26">
        <f t="shared" si="37"/>
      </c>
      <c r="DC5" s="26">
        <f t="shared" si="37"/>
      </c>
      <c r="DD5" s="26">
        <f t="shared" si="37"/>
      </c>
      <c r="DE5" s="214">
        <f>SUM(CY5:DD5)</f>
        <v>137</v>
      </c>
      <c r="DF5" s="106"/>
      <c r="DH5" s="499" t="s">
        <v>73</v>
      </c>
      <c r="DI5" s="517"/>
      <c r="DJ5" s="29">
        <f aca="true" t="shared" si="38" ref="DJ5:DO5">IF(DJ3="","",DU5+DJ8-DJ7)</f>
        <v>279</v>
      </c>
      <c r="DK5" s="17">
        <f t="shared" si="38"/>
        <v>140</v>
      </c>
      <c r="DL5" s="17">
        <f t="shared" si="38"/>
        <v>358</v>
      </c>
      <c r="DM5" s="17">
        <f t="shared" si="38"/>
      </c>
      <c r="DN5" s="17">
        <f t="shared" si="38"/>
      </c>
      <c r="DO5" s="18">
        <f t="shared" si="38"/>
      </c>
      <c r="DP5" s="541">
        <f>SUM(DJ5:DO5)</f>
        <v>777</v>
      </c>
      <c r="DQ5" s="450"/>
      <c r="DS5" s="499" t="s">
        <v>73</v>
      </c>
      <c r="DT5" s="500"/>
      <c r="DU5" s="26">
        <f aca="true" t="shared" si="39" ref="DU5:DZ5">IF(DU3="","",EF5-DU26)</f>
        <v>102</v>
      </c>
      <c r="DV5" s="26">
        <f t="shared" si="39"/>
        <v>35</v>
      </c>
      <c r="DW5" s="26">
        <f t="shared" si="39"/>
        <v>230</v>
      </c>
      <c r="DX5" s="26">
        <f t="shared" si="39"/>
      </c>
      <c r="DY5" s="26">
        <f t="shared" si="39"/>
      </c>
      <c r="DZ5" s="26">
        <f t="shared" si="39"/>
      </c>
      <c r="EA5" s="214">
        <f>SUM(DU5:DZ5)</f>
        <v>367</v>
      </c>
      <c r="EB5" s="106"/>
      <c r="ED5" s="499" t="s">
        <v>73</v>
      </c>
      <c r="EE5" s="517"/>
      <c r="EF5" s="29">
        <f aca="true" t="shared" si="40" ref="EF5:EK5">IF(EF3="","",EQ5+EF8-EF7)</f>
        <v>192</v>
      </c>
      <c r="EG5" s="17">
        <f t="shared" si="40"/>
        <v>135</v>
      </c>
      <c r="EH5" s="17">
        <f t="shared" si="40"/>
        <v>310</v>
      </c>
      <c r="EI5" s="17">
        <f t="shared" si="40"/>
      </c>
      <c r="EJ5" s="17">
        <f t="shared" si="40"/>
      </c>
      <c r="EK5" s="18">
        <f t="shared" si="40"/>
      </c>
      <c r="EL5" s="541">
        <f>SUM(EF5:EK5)</f>
        <v>637</v>
      </c>
      <c r="EM5" s="450"/>
      <c r="EO5" s="499" t="s">
        <v>73</v>
      </c>
      <c r="EP5" s="500"/>
      <c r="EQ5" s="26">
        <f aca="true" t="shared" si="41" ref="EQ5:EV5">IF(EQ3="","",FB5-EQ26)</f>
        <v>25</v>
      </c>
      <c r="ER5" s="26">
        <f t="shared" si="41"/>
        <v>30</v>
      </c>
      <c r="ES5" s="26">
        <f>IF(ES3="","",FD5-ES26)</f>
        <v>195</v>
      </c>
      <c r="ET5" s="26">
        <f t="shared" si="41"/>
      </c>
      <c r="EU5" s="26">
        <f t="shared" si="41"/>
      </c>
      <c r="EV5" s="26">
        <f t="shared" si="41"/>
      </c>
      <c r="EW5" s="214">
        <f>SUM(EQ5:EV5)</f>
        <v>250</v>
      </c>
      <c r="EX5" s="106"/>
      <c r="EZ5" s="499" t="s">
        <v>73</v>
      </c>
      <c r="FA5" s="517"/>
      <c r="FB5" s="29">
        <f aca="true" t="shared" si="42" ref="FB5:FG5">IF(FB3="","",FM5+FB8-FB7)</f>
        <v>105</v>
      </c>
      <c r="FC5" s="17">
        <f t="shared" si="42"/>
        <v>30</v>
      </c>
      <c r="FD5" s="17">
        <f t="shared" si="42"/>
        <v>475</v>
      </c>
      <c r="FE5" s="17">
        <f t="shared" si="42"/>
      </c>
      <c r="FF5" s="17">
        <f t="shared" si="42"/>
      </c>
      <c r="FG5" s="18">
        <f t="shared" si="42"/>
      </c>
      <c r="FH5" s="541">
        <f>SUM(FB5:FG5)</f>
        <v>610</v>
      </c>
      <c r="FI5" s="450"/>
      <c r="FK5" s="537" t="s">
        <v>73</v>
      </c>
      <c r="FL5" s="538"/>
      <c r="FM5" s="29">
        <f>IF(ISBLANK(FM3),"",FS6-FM7)</f>
        <v>40</v>
      </c>
      <c r="FN5" s="17">
        <f>IF(ISBLANK(FN3),"",FS6-FN7)</f>
        <v>5</v>
      </c>
      <c r="FO5" s="17">
        <f>IF(ISBLANK(FO3),"",FS6-FO7)</f>
        <v>450</v>
      </c>
      <c r="FP5" s="17">
        <f>IF(ISBLANK(FP3),"",FS6-FP7)</f>
      </c>
      <c r="FQ5" s="17">
        <f>IF(ISBLANK(FQ3),"",FS6-FQ7)</f>
      </c>
      <c r="FR5" s="18">
        <f>IF(ISBLANK(FR3),"",FS6-FR7)</f>
      </c>
      <c r="FS5" s="529" t="s">
        <v>74</v>
      </c>
      <c r="FT5" s="530"/>
    </row>
    <row r="6" spans="2:176" ht="14.25" thickBot="1">
      <c r="B6" s="460" t="s">
        <v>2</v>
      </c>
      <c r="C6" s="461"/>
      <c r="D6" s="300">
        <f aca="true" t="shared" si="43" ref="D6:I6">D10+D18+D25+D37</f>
        <v>1360</v>
      </c>
      <c r="E6" s="301">
        <f t="shared" si="43"/>
        <v>1520</v>
      </c>
      <c r="F6" s="301">
        <f t="shared" si="43"/>
        <v>1135</v>
      </c>
      <c r="G6" s="301">
        <f t="shared" si="43"/>
        <v>0</v>
      </c>
      <c r="H6" s="301">
        <f t="shared" si="43"/>
        <v>0</v>
      </c>
      <c r="I6" s="16">
        <f t="shared" si="43"/>
        <v>0</v>
      </c>
      <c r="J6" s="215"/>
      <c r="K6" s="106"/>
      <c r="M6" s="460" t="s">
        <v>2</v>
      </c>
      <c r="N6" s="461"/>
      <c r="O6" s="300">
        <f aca="true" t="shared" si="44" ref="O6:T6">O10+O18+O25+O37</f>
        <v>1360</v>
      </c>
      <c r="P6" s="301">
        <f t="shared" si="44"/>
        <v>1520</v>
      </c>
      <c r="Q6" s="301">
        <f t="shared" si="44"/>
        <v>1135</v>
      </c>
      <c r="R6" s="301">
        <f t="shared" si="44"/>
        <v>0</v>
      </c>
      <c r="S6" s="301">
        <f t="shared" si="44"/>
        <v>0</v>
      </c>
      <c r="T6" s="16">
        <f t="shared" si="44"/>
        <v>0</v>
      </c>
      <c r="U6" s="451"/>
      <c r="V6" s="452"/>
      <c r="X6" s="460" t="s">
        <v>2</v>
      </c>
      <c r="Y6" s="461"/>
      <c r="Z6" s="300">
        <f aca="true" t="shared" si="45" ref="Z6:AE6">Z10+Z18+Z25+Z37</f>
        <v>1270</v>
      </c>
      <c r="AA6" s="301">
        <f t="shared" si="45"/>
        <v>1460</v>
      </c>
      <c r="AB6" s="301">
        <f t="shared" si="45"/>
        <v>1145</v>
      </c>
      <c r="AC6" s="301">
        <f t="shared" si="45"/>
        <v>0</v>
      </c>
      <c r="AD6" s="301">
        <f t="shared" si="45"/>
        <v>0</v>
      </c>
      <c r="AE6" s="16">
        <f t="shared" si="45"/>
        <v>0</v>
      </c>
      <c r="AF6" s="451"/>
      <c r="AG6" s="452"/>
      <c r="AI6" s="460" t="s">
        <v>2</v>
      </c>
      <c r="AJ6" s="461"/>
      <c r="AK6" s="300">
        <f aca="true" t="shared" si="46" ref="AK6:AP6">AK10+AK18+AK25+AK37</f>
        <v>1355</v>
      </c>
      <c r="AL6" s="301">
        <f t="shared" si="46"/>
        <v>1540</v>
      </c>
      <c r="AM6" s="301">
        <f t="shared" si="46"/>
        <v>1200</v>
      </c>
      <c r="AN6" s="301">
        <f t="shared" si="46"/>
        <v>0</v>
      </c>
      <c r="AO6" s="301">
        <f t="shared" si="46"/>
        <v>0</v>
      </c>
      <c r="AP6" s="16">
        <f t="shared" si="46"/>
        <v>0</v>
      </c>
      <c r="AQ6" s="451"/>
      <c r="AR6" s="452"/>
      <c r="AT6" s="460" t="s">
        <v>2</v>
      </c>
      <c r="AU6" s="461"/>
      <c r="AV6" s="300">
        <f aca="true" t="shared" si="47" ref="AV6:BA6">AV10+AV18+AV25+AV37</f>
        <v>1990</v>
      </c>
      <c r="AW6" s="301">
        <f t="shared" si="47"/>
        <v>1635</v>
      </c>
      <c r="AX6" s="301">
        <f t="shared" si="47"/>
        <v>1290</v>
      </c>
      <c r="AY6" s="301">
        <f t="shared" si="47"/>
        <v>0</v>
      </c>
      <c r="AZ6" s="301">
        <f t="shared" si="47"/>
        <v>0</v>
      </c>
      <c r="BA6" s="16">
        <f t="shared" si="47"/>
        <v>0</v>
      </c>
      <c r="BB6" s="215"/>
      <c r="BC6" s="106"/>
      <c r="BE6" s="460" t="s">
        <v>2</v>
      </c>
      <c r="BF6" s="461"/>
      <c r="BG6" s="300">
        <f aca="true" t="shared" si="48" ref="BG6:BL6">BG10+BG18+BG25+BG37</f>
        <v>1590</v>
      </c>
      <c r="BH6" s="301">
        <f t="shared" si="48"/>
        <v>1490</v>
      </c>
      <c r="BI6" s="301">
        <f t="shared" si="48"/>
        <v>1140</v>
      </c>
      <c r="BJ6" s="301">
        <f t="shared" si="48"/>
        <v>0</v>
      </c>
      <c r="BK6" s="301">
        <f t="shared" si="48"/>
        <v>0</v>
      </c>
      <c r="BL6" s="16">
        <f t="shared" si="48"/>
        <v>0</v>
      </c>
      <c r="BM6" s="451"/>
      <c r="BN6" s="452"/>
      <c r="BP6" s="460" t="s">
        <v>2</v>
      </c>
      <c r="BQ6" s="461"/>
      <c r="BR6" s="300">
        <f aca="true" t="shared" si="49" ref="BR6:BW6">BR10+BR18+BR25+BR37</f>
        <v>1535</v>
      </c>
      <c r="BS6" s="301">
        <f t="shared" si="49"/>
        <v>1450</v>
      </c>
      <c r="BT6" s="301">
        <f t="shared" si="49"/>
        <v>1145</v>
      </c>
      <c r="BU6" s="301">
        <f t="shared" si="49"/>
        <v>0</v>
      </c>
      <c r="BV6" s="301">
        <f t="shared" si="49"/>
        <v>0</v>
      </c>
      <c r="BW6" s="16">
        <f t="shared" si="49"/>
        <v>0</v>
      </c>
      <c r="BX6" s="451"/>
      <c r="BY6" s="452"/>
      <c r="CA6" s="460" t="s">
        <v>2</v>
      </c>
      <c r="CB6" s="461"/>
      <c r="CC6" s="300">
        <f aca="true" t="shared" si="50" ref="CC6:CH6">CC10+CC18+CC25+CC37</f>
        <v>1470</v>
      </c>
      <c r="CD6" s="301">
        <f t="shared" si="50"/>
        <v>1460</v>
      </c>
      <c r="CE6" s="301">
        <f t="shared" si="50"/>
        <v>1180</v>
      </c>
      <c r="CF6" s="301">
        <f t="shared" si="50"/>
        <v>0</v>
      </c>
      <c r="CG6" s="301">
        <f t="shared" si="50"/>
        <v>0</v>
      </c>
      <c r="CH6" s="16">
        <f t="shared" si="50"/>
        <v>0</v>
      </c>
      <c r="CI6" s="215"/>
      <c r="CJ6" s="106"/>
      <c r="CL6" s="460" t="s">
        <v>2</v>
      </c>
      <c r="CM6" s="461"/>
      <c r="CN6" s="300">
        <f aca="true" t="shared" si="51" ref="CN6:CS6">CN10+CN18+CN25+CN37</f>
        <v>1030</v>
      </c>
      <c r="CO6" s="301">
        <f t="shared" si="51"/>
        <v>960</v>
      </c>
      <c r="CP6" s="301">
        <f t="shared" si="51"/>
        <v>940</v>
      </c>
      <c r="CQ6" s="301">
        <f t="shared" si="51"/>
        <v>0</v>
      </c>
      <c r="CR6" s="301">
        <f t="shared" si="51"/>
        <v>0</v>
      </c>
      <c r="CS6" s="16">
        <f t="shared" si="51"/>
        <v>0</v>
      </c>
      <c r="CT6" s="451"/>
      <c r="CU6" s="452"/>
      <c r="CW6" s="460" t="s">
        <v>2</v>
      </c>
      <c r="CX6" s="461"/>
      <c r="CY6" s="300">
        <f aca="true" t="shared" si="52" ref="CY6:DD6">CY10+CY18+CY25+CY37</f>
        <v>1225</v>
      </c>
      <c r="CZ6" s="301">
        <f t="shared" si="52"/>
        <v>1090</v>
      </c>
      <c r="DA6" s="301">
        <f t="shared" si="52"/>
        <v>1065</v>
      </c>
      <c r="DB6" s="301">
        <f t="shared" si="52"/>
        <v>0</v>
      </c>
      <c r="DC6" s="301">
        <f t="shared" si="52"/>
        <v>0</v>
      </c>
      <c r="DD6" s="16">
        <f t="shared" si="52"/>
        <v>0</v>
      </c>
      <c r="DE6" s="215"/>
      <c r="DF6" s="106"/>
      <c r="DH6" s="501" t="s">
        <v>2</v>
      </c>
      <c r="DI6" s="518"/>
      <c r="DJ6" s="300">
        <f aca="true" t="shared" si="53" ref="DJ6:DO6">DJ10+DJ18+DJ25+DJ37</f>
        <v>1170</v>
      </c>
      <c r="DK6" s="301">
        <f t="shared" si="53"/>
        <v>1060</v>
      </c>
      <c r="DL6" s="301">
        <f t="shared" si="53"/>
        <v>740</v>
      </c>
      <c r="DM6" s="301">
        <f t="shared" si="53"/>
        <v>0</v>
      </c>
      <c r="DN6" s="301">
        <f t="shared" si="53"/>
        <v>0</v>
      </c>
      <c r="DO6" s="16">
        <f t="shared" si="53"/>
        <v>0</v>
      </c>
      <c r="DP6" s="542"/>
      <c r="DQ6" s="452"/>
      <c r="DS6" s="501" t="s">
        <v>2</v>
      </c>
      <c r="DT6" s="502"/>
      <c r="DU6" s="300">
        <f aca="true" t="shared" si="54" ref="DU6:DZ6">DU10+DU18+DU25+DU37</f>
        <v>1100</v>
      </c>
      <c r="DV6" s="301">
        <f t="shared" si="54"/>
        <v>1010</v>
      </c>
      <c r="DW6" s="301">
        <f t="shared" si="54"/>
        <v>730</v>
      </c>
      <c r="DX6" s="301">
        <f t="shared" si="54"/>
        <v>0</v>
      </c>
      <c r="DY6" s="301">
        <f t="shared" si="54"/>
        <v>0</v>
      </c>
      <c r="DZ6" s="16">
        <f t="shared" si="54"/>
        <v>0</v>
      </c>
      <c r="EA6" s="215"/>
      <c r="EB6" s="106"/>
      <c r="ED6" s="501" t="s">
        <v>2</v>
      </c>
      <c r="EE6" s="518"/>
      <c r="EF6" s="300">
        <f aca="true" t="shared" si="55" ref="EF6:EK6">EF10+EF18+EF25+EF37</f>
        <v>1010</v>
      </c>
      <c r="EG6" s="301">
        <f t="shared" si="55"/>
        <v>910</v>
      </c>
      <c r="EH6" s="301">
        <f t="shared" si="55"/>
        <v>650</v>
      </c>
      <c r="EI6" s="301">
        <f t="shared" si="55"/>
        <v>0</v>
      </c>
      <c r="EJ6" s="301">
        <f t="shared" si="55"/>
        <v>0</v>
      </c>
      <c r="EK6" s="16">
        <f t="shared" si="55"/>
        <v>0</v>
      </c>
      <c r="EL6" s="542"/>
      <c r="EM6" s="452"/>
      <c r="EO6" s="501" t="s">
        <v>2</v>
      </c>
      <c r="EP6" s="502"/>
      <c r="EQ6" s="300">
        <f aca="true" t="shared" si="56" ref="EQ6:EV6">EQ10+EQ18+EQ25+EQ37</f>
        <v>980</v>
      </c>
      <c r="ER6" s="301">
        <f t="shared" si="56"/>
        <v>860</v>
      </c>
      <c r="ES6" s="301">
        <f t="shared" si="56"/>
        <v>650</v>
      </c>
      <c r="ET6" s="301">
        <f t="shared" si="56"/>
        <v>0</v>
      </c>
      <c r="EU6" s="301">
        <f t="shared" si="56"/>
        <v>0</v>
      </c>
      <c r="EV6" s="16">
        <f t="shared" si="56"/>
        <v>0</v>
      </c>
      <c r="EW6" s="215"/>
      <c r="EX6" s="106"/>
      <c r="EZ6" s="501" t="s">
        <v>2</v>
      </c>
      <c r="FA6" s="518"/>
      <c r="FB6" s="300">
        <f aca="true" t="shared" si="57" ref="FB6:FG6">FB10+FB18+FB25+FB37</f>
        <v>905</v>
      </c>
      <c r="FC6" s="301">
        <f t="shared" si="57"/>
        <v>860</v>
      </c>
      <c r="FD6" s="301">
        <f t="shared" si="57"/>
        <v>370</v>
      </c>
      <c r="FE6" s="301">
        <f t="shared" si="57"/>
        <v>0</v>
      </c>
      <c r="FF6" s="301">
        <f t="shared" si="57"/>
        <v>0</v>
      </c>
      <c r="FG6" s="16">
        <f t="shared" si="57"/>
        <v>0</v>
      </c>
      <c r="FH6" s="542"/>
      <c r="FI6" s="452"/>
      <c r="FK6" s="501" t="s">
        <v>2</v>
      </c>
      <c r="FL6" s="502"/>
      <c r="FM6" s="302">
        <f aca="true" t="shared" si="58" ref="FM6:FR7">FM10+FM18+FM25</f>
        <v>930</v>
      </c>
      <c r="FN6" s="303">
        <f t="shared" si="58"/>
        <v>910</v>
      </c>
      <c r="FO6" s="303">
        <f t="shared" si="58"/>
        <v>370</v>
      </c>
      <c r="FP6" s="303">
        <f>FP10+FP18+FP25</f>
        <v>0</v>
      </c>
      <c r="FQ6" s="303">
        <f t="shared" si="58"/>
        <v>0</v>
      </c>
      <c r="FR6" s="304">
        <f t="shared" si="58"/>
        <v>0</v>
      </c>
      <c r="FS6" s="519">
        <f>FS4/COUNTA(FM3:FR3)</f>
        <v>840</v>
      </c>
      <c r="FT6" s="520"/>
    </row>
    <row r="7" spans="2:174" ht="13.5">
      <c r="B7" s="480"/>
      <c r="C7" s="481"/>
      <c r="D7" s="311"/>
      <c r="E7" s="312"/>
      <c r="F7" s="312"/>
      <c r="G7" s="312"/>
      <c r="H7" s="312"/>
      <c r="I7" s="240"/>
      <c r="J7" s="65"/>
      <c r="K7" s="279"/>
      <c r="M7" s="458" t="s">
        <v>29</v>
      </c>
      <c r="N7" s="459"/>
      <c r="O7" s="297"/>
      <c r="P7" s="298"/>
      <c r="Q7" s="298"/>
      <c r="R7" s="298"/>
      <c r="S7" s="298"/>
      <c r="T7" s="299"/>
      <c r="U7" s="295"/>
      <c r="V7" s="65"/>
      <c r="X7" s="458" t="s">
        <v>29</v>
      </c>
      <c r="Y7" s="459"/>
      <c r="Z7" s="297"/>
      <c r="AA7" s="298">
        <v>129</v>
      </c>
      <c r="AB7" s="298"/>
      <c r="AC7" s="298"/>
      <c r="AD7" s="298"/>
      <c r="AE7" s="299"/>
      <c r="AF7" s="295"/>
      <c r="AG7" s="65"/>
      <c r="AI7" s="458" t="s">
        <v>29</v>
      </c>
      <c r="AJ7" s="459"/>
      <c r="AK7" s="297">
        <v>473</v>
      </c>
      <c r="AL7" s="298"/>
      <c r="AM7" s="298"/>
      <c r="AN7" s="298"/>
      <c r="AO7" s="298"/>
      <c r="AP7" s="299"/>
      <c r="AQ7" s="295"/>
      <c r="AR7" s="65"/>
      <c r="AT7" s="480"/>
      <c r="AU7" s="481"/>
      <c r="AV7" s="311"/>
      <c r="AW7" s="312"/>
      <c r="AX7" s="312"/>
      <c r="AY7" s="312"/>
      <c r="AZ7" s="312"/>
      <c r="BA7" s="240"/>
      <c r="BB7" s="65"/>
      <c r="BC7" s="279"/>
      <c r="BE7" s="458" t="s">
        <v>29</v>
      </c>
      <c r="BF7" s="459"/>
      <c r="BG7" s="297"/>
      <c r="BH7" s="298"/>
      <c r="BI7" s="298">
        <v>300</v>
      </c>
      <c r="BJ7" s="298"/>
      <c r="BK7" s="298"/>
      <c r="BL7" s="299"/>
      <c r="BM7" s="295"/>
      <c r="BN7" s="65"/>
      <c r="BP7" s="458" t="s">
        <v>29</v>
      </c>
      <c r="BQ7" s="459"/>
      <c r="BR7" s="297"/>
      <c r="BS7" s="298"/>
      <c r="BT7" s="298"/>
      <c r="BU7" s="298"/>
      <c r="BV7" s="298"/>
      <c r="BW7" s="299"/>
      <c r="BX7" s="295"/>
      <c r="BY7" s="65"/>
      <c r="CA7" s="480"/>
      <c r="CB7" s="481"/>
      <c r="CC7" s="311"/>
      <c r="CD7" s="312"/>
      <c r="CE7" s="312"/>
      <c r="CF7" s="312"/>
      <c r="CG7" s="312"/>
      <c r="CH7" s="240"/>
      <c r="CI7" s="65"/>
      <c r="CJ7" s="279"/>
      <c r="CL7" s="458" t="s">
        <v>29</v>
      </c>
      <c r="CM7" s="459"/>
      <c r="CN7" s="297"/>
      <c r="CO7" s="298"/>
      <c r="CP7" s="298"/>
      <c r="CQ7" s="298"/>
      <c r="CR7" s="298"/>
      <c r="CS7" s="299"/>
      <c r="CT7" s="295"/>
      <c r="CU7" s="65"/>
      <c r="CW7" s="480"/>
      <c r="CX7" s="481"/>
      <c r="CY7" s="311"/>
      <c r="CZ7" s="312"/>
      <c r="DA7" s="312"/>
      <c r="DB7" s="312"/>
      <c r="DC7" s="312"/>
      <c r="DD7" s="240"/>
      <c r="DE7" s="65"/>
      <c r="DF7" s="279"/>
      <c r="DH7" s="524" t="s">
        <v>29</v>
      </c>
      <c r="DI7" s="525"/>
      <c r="DJ7" s="297"/>
      <c r="DK7" s="298"/>
      <c r="DL7" s="298"/>
      <c r="DM7" s="298"/>
      <c r="DN7" s="298"/>
      <c r="DO7" s="299"/>
      <c r="DP7" s="295"/>
      <c r="DQ7" s="65"/>
      <c r="DS7" s="503"/>
      <c r="DT7" s="504"/>
      <c r="DU7" s="311"/>
      <c r="DV7" s="312"/>
      <c r="DW7" s="312"/>
      <c r="DX7" s="312"/>
      <c r="DY7" s="312"/>
      <c r="DZ7" s="240"/>
      <c r="EA7" s="65"/>
      <c r="EB7" s="279"/>
      <c r="ED7" s="524" t="s">
        <v>29</v>
      </c>
      <c r="EE7" s="525"/>
      <c r="EF7" s="297"/>
      <c r="EG7" s="298"/>
      <c r="EH7" s="298"/>
      <c r="EI7" s="298"/>
      <c r="EJ7" s="298"/>
      <c r="EK7" s="299"/>
      <c r="EL7" s="295"/>
      <c r="EM7" s="65"/>
      <c r="EO7" s="503"/>
      <c r="EP7" s="504"/>
      <c r="EQ7" s="311"/>
      <c r="ER7" s="312"/>
      <c r="ES7" s="312"/>
      <c r="ET7" s="312"/>
      <c r="EU7" s="312"/>
      <c r="EV7" s="240"/>
      <c r="EW7" s="65"/>
      <c r="EX7" s="279"/>
      <c r="EZ7" s="524" t="s">
        <v>29</v>
      </c>
      <c r="FA7" s="525"/>
      <c r="FB7" s="297"/>
      <c r="FC7" s="298"/>
      <c r="FD7" s="298"/>
      <c r="FE7" s="298"/>
      <c r="FF7" s="298"/>
      <c r="FG7" s="299"/>
      <c r="FH7" s="295"/>
      <c r="FI7" s="65"/>
      <c r="FK7" s="524" t="s">
        <v>29</v>
      </c>
      <c r="FL7" s="526"/>
      <c r="FM7" s="234">
        <f t="shared" si="58"/>
        <v>800</v>
      </c>
      <c r="FN7" s="305">
        <f t="shared" si="58"/>
        <v>835</v>
      </c>
      <c r="FO7" s="305">
        <f t="shared" si="58"/>
        <v>390</v>
      </c>
      <c r="FP7" s="305">
        <f>FP11+FP19+FP26</f>
        <v>0</v>
      </c>
      <c r="FQ7" s="305">
        <f t="shared" si="58"/>
        <v>0</v>
      </c>
      <c r="FR7" s="306">
        <f t="shared" si="58"/>
        <v>0</v>
      </c>
    </row>
    <row r="8" spans="2:174" ht="14.25" thickBot="1">
      <c r="B8" s="451"/>
      <c r="C8" s="452"/>
      <c r="D8" s="307"/>
      <c r="E8" s="308"/>
      <c r="F8" s="308"/>
      <c r="G8" s="308"/>
      <c r="H8" s="308"/>
      <c r="I8" s="241"/>
      <c r="J8" s="157"/>
      <c r="K8" s="157"/>
      <c r="M8" s="460" t="s">
        <v>23</v>
      </c>
      <c r="N8" s="461"/>
      <c r="O8" s="300">
        <f aca="true" t="shared" si="59" ref="O8:T8">O9+O11+O19+O26+O38</f>
        <v>1131</v>
      </c>
      <c r="P8" s="301">
        <f t="shared" si="59"/>
        <v>686</v>
      </c>
      <c r="Q8" s="301">
        <f t="shared" si="59"/>
        <v>289</v>
      </c>
      <c r="R8" s="301">
        <f t="shared" si="59"/>
        <v>0</v>
      </c>
      <c r="S8" s="301">
        <f t="shared" si="59"/>
        <v>0</v>
      </c>
      <c r="T8" s="16">
        <f t="shared" si="59"/>
        <v>0</v>
      </c>
      <c r="U8" s="262"/>
      <c r="V8" s="157"/>
      <c r="X8" s="460" t="s">
        <v>23</v>
      </c>
      <c r="Y8" s="461"/>
      <c r="Z8" s="300">
        <f aca="true" t="shared" si="60" ref="Z8:AE8">Z9+Z11+Z19+Z26+Z38</f>
        <v>102</v>
      </c>
      <c r="AA8" s="301">
        <f t="shared" si="60"/>
        <v>198</v>
      </c>
      <c r="AB8" s="301">
        <f t="shared" si="60"/>
        <v>121</v>
      </c>
      <c r="AC8" s="301">
        <f t="shared" si="60"/>
        <v>0</v>
      </c>
      <c r="AD8" s="301">
        <f t="shared" si="60"/>
        <v>0</v>
      </c>
      <c r="AE8" s="16">
        <f t="shared" si="60"/>
        <v>0</v>
      </c>
      <c r="AF8" s="262"/>
      <c r="AG8" s="157"/>
      <c r="AI8" s="460" t="s">
        <v>23</v>
      </c>
      <c r="AJ8" s="461"/>
      <c r="AK8" s="300">
        <f aca="true" t="shared" si="61" ref="AK8:AP8">AK9+AK11+AK19+AK26+AK38</f>
        <v>410</v>
      </c>
      <c r="AL8" s="301">
        <f t="shared" si="61"/>
        <v>70</v>
      </c>
      <c r="AM8" s="301">
        <f t="shared" si="61"/>
        <v>185</v>
      </c>
      <c r="AN8" s="301">
        <f t="shared" si="61"/>
        <v>0</v>
      </c>
      <c r="AO8" s="301">
        <f t="shared" si="61"/>
        <v>0</v>
      </c>
      <c r="AP8" s="16">
        <f t="shared" si="61"/>
        <v>0</v>
      </c>
      <c r="AQ8" s="262"/>
      <c r="AR8" s="157"/>
      <c r="AT8" s="451"/>
      <c r="AU8" s="452"/>
      <c r="AV8" s="307"/>
      <c r="AW8" s="308"/>
      <c r="AX8" s="308"/>
      <c r="AY8" s="308"/>
      <c r="AZ8" s="308"/>
      <c r="BA8" s="241"/>
      <c r="BB8" s="157"/>
      <c r="BC8" s="157"/>
      <c r="BE8" s="460" t="s">
        <v>23</v>
      </c>
      <c r="BF8" s="461"/>
      <c r="BG8" s="300">
        <f aca="true" t="shared" si="62" ref="BG8:BL8">BG9+BG11+BG19+BG26+BG38</f>
        <v>210</v>
      </c>
      <c r="BH8" s="301">
        <f t="shared" si="62"/>
        <v>215</v>
      </c>
      <c r="BI8" s="301">
        <f t="shared" si="62"/>
        <v>308</v>
      </c>
      <c r="BJ8" s="301">
        <f t="shared" si="62"/>
        <v>0</v>
      </c>
      <c r="BK8" s="301">
        <f t="shared" si="62"/>
        <v>0</v>
      </c>
      <c r="BL8" s="16">
        <f t="shared" si="62"/>
        <v>0</v>
      </c>
      <c r="BM8" s="262"/>
      <c r="BN8" s="157"/>
      <c r="BP8" s="460" t="s">
        <v>23</v>
      </c>
      <c r="BQ8" s="461"/>
      <c r="BR8" s="300">
        <f aca="true" t="shared" si="63" ref="BR8:BW8">BR9+BR11+BR19+BR26+BR38</f>
        <v>250</v>
      </c>
      <c r="BS8" s="301">
        <f t="shared" si="63"/>
        <v>165</v>
      </c>
      <c r="BT8" s="301">
        <f t="shared" si="63"/>
        <v>91</v>
      </c>
      <c r="BU8" s="301">
        <f t="shared" si="63"/>
        <v>0</v>
      </c>
      <c r="BV8" s="301">
        <f t="shared" si="63"/>
        <v>0</v>
      </c>
      <c r="BW8" s="16">
        <f t="shared" si="63"/>
        <v>0</v>
      </c>
      <c r="BX8" s="262"/>
      <c r="BY8" s="157"/>
      <c r="CA8" s="451"/>
      <c r="CB8" s="452"/>
      <c r="CC8" s="307"/>
      <c r="CD8" s="308"/>
      <c r="CE8" s="308"/>
      <c r="CF8" s="308"/>
      <c r="CG8" s="308"/>
      <c r="CH8" s="241"/>
      <c r="CI8" s="157"/>
      <c r="CJ8" s="157"/>
      <c r="CL8" s="460" t="s">
        <v>23</v>
      </c>
      <c r="CM8" s="461"/>
      <c r="CN8" s="300">
        <f aca="true" t="shared" si="64" ref="CN8:CS8">CN9+CN11+CN19+CN26+CN38</f>
        <v>530</v>
      </c>
      <c r="CO8" s="301">
        <f t="shared" si="64"/>
        <v>532</v>
      </c>
      <c r="CP8" s="301">
        <f t="shared" si="64"/>
        <v>328</v>
      </c>
      <c r="CQ8" s="301">
        <f t="shared" si="64"/>
        <v>0</v>
      </c>
      <c r="CR8" s="301">
        <f t="shared" si="64"/>
        <v>0</v>
      </c>
      <c r="CS8" s="16">
        <f t="shared" si="64"/>
        <v>0</v>
      </c>
      <c r="CT8" s="262"/>
      <c r="CU8" s="157"/>
      <c r="CW8" s="451"/>
      <c r="CX8" s="452"/>
      <c r="CY8" s="307"/>
      <c r="CZ8" s="308"/>
      <c r="DA8" s="308"/>
      <c r="DB8" s="308"/>
      <c r="DC8" s="308"/>
      <c r="DD8" s="241"/>
      <c r="DE8" s="157"/>
      <c r="DF8" s="157"/>
      <c r="DH8" s="513" t="s">
        <v>23</v>
      </c>
      <c r="DI8" s="514"/>
      <c r="DJ8" s="300">
        <f aca="true" t="shared" si="65" ref="DJ8:DO8">DJ9+DJ11+DJ19+DJ26+DJ38</f>
        <v>177</v>
      </c>
      <c r="DK8" s="301">
        <f t="shared" si="65"/>
        <v>105</v>
      </c>
      <c r="DL8" s="301">
        <f t="shared" si="65"/>
        <v>128</v>
      </c>
      <c r="DM8" s="301">
        <f t="shared" si="65"/>
        <v>0</v>
      </c>
      <c r="DN8" s="301">
        <f t="shared" si="65"/>
        <v>0</v>
      </c>
      <c r="DO8" s="16">
        <f t="shared" si="65"/>
        <v>0</v>
      </c>
      <c r="DP8" s="262"/>
      <c r="DQ8" s="157"/>
      <c r="DS8" s="493"/>
      <c r="DT8" s="494"/>
      <c r="DU8" s="307"/>
      <c r="DV8" s="308"/>
      <c r="DW8" s="308"/>
      <c r="DX8" s="308"/>
      <c r="DY8" s="308"/>
      <c r="DZ8" s="241"/>
      <c r="EA8" s="157"/>
      <c r="EB8" s="157"/>
      <c r="ED8" s="513" t="s">
        <v>23</v>
      </c>
      <c r="EE8" s="514"/>
      <c r="EF8" s="300">
        <f aca="true" t="shared" si="66" ref="EF8:EK8">EF9+EF11+EF19+EF26+EF38</f>
        <v>167</v>
      </c>
      <c r="EG8" s="301">
        <f t="shared" si="66"/>
        <v>105</v>
      </c>
      <c r="EH8" s="301">
        <f t="shared" si="66"/>
        <v>115</v>
      </c>
      <c r="EI8" s="301">
        <f t="shared" si="66"/>
        <v>0</v>
      </c>
      <c r="EJ8" s="301">
        <f t="shared" si="66"/>
        <v>0</v>
      </c>
      <c r="EK8" s="16">
        <f t="shared" si="66"/>
        <v>0</v>
      </c>
      <c r="EL8" s="262"/>
      <c r="EM8" s="157"/>
      <c r="EO8" s="493"/>
      <c r="EP8" s="494"/>
      <c r="EQ8" s="307"/>
      <c r="ER8" s="308"/>
      <c r="ES8" s="308"/>
      <c r="ET8" s="308"/>
      <c r="EU8" s="308"/>
      <c r="EV8" s="241"/>
      <c r="EW8" s="157"/>
      <c r="EX8" s="157"/>
      <c r="EZ8" s="513" t="s">
        <v>23</v>
      </c>
      <c r="FA8" s="514"/>
      <c r="FB8" s="300">
        <f aca="true" t="shared" si="67" ref="FB8:FG8">FB9+FB11+FB19+FB26+FB38</f>
        <v>65</v>
      </c>
      <c r="FC8" s="301">
        <f t="shared" si="67"/>
        <v>25</v>
      </c>
      <c r="FD8" s="301">
        <f t="shared" si="67"/>
        <v>25</v>
      </c>
      <c r="FE8" s="301">
        <f t="shared" si="67"/>
        <v>0</v>
      </c>
      <c r="FF8" s="301">
        <f t="shared" si="67"/>
        <v>0</v>
      </c>
      <c r="FG8" s="16">
        <f t="shared" si="67"/>
        <v>0</v>
      </c>
      <c r="FH8" s="262"/>
      <c r="FI8" s="157"/>
      <c r="FK8" s="493" t="s">
        <v>23</v>
      </c>
      <c r="FL8" s="523"/>
      <c r="FM8" s="307"/>
      <c r="FN8" s="308"/>
      <c r="FO8" s="308"/>
      <c r="FP8" s="308"/>
      <c r="FQ8" s="308"/>
      <c r="FR8" s="241"/>
    </row>
    <row r="9" spans="2:175" ht="14.25" thickBot="1">
      <c r="B9" s="490"/>
      <c r="C9" s="491"/>
      <c r="D9" s="84"/>
      <c r="E9" s="209"/>
      <c r="F9" s="209"/>
      <c r="G9" s="209"/>
      <c r="H9" s="209"/>
      <c r="I9" s="309"/>
      <c r="J9" s="157"/>
      <c r="K9" s="157"/>
      <c r="M9" s="462" t="s">
        <v>82</v>
      </c>
      <c r="N9" s="463"/>
      <c r="O9" s="292"/>
      <c r="P9" s="293"/>
      <c r="Q9" s="293"/>
      <c r="R9" s="293"/>
      <c r="S9" s="293"/>
      <c r="T9" s="294"/>
      <c r="U9" s="296"/>
      <c r="V9" s="72"/>
      <c r="X9" s="462" t="s">
        <v>82</v>
      </c>
      <c r="Y9" s="463"/>
      <c r="Z9" s="292"/>
      <c r="AA9" s="293"/>
      <c r="AB9" s="293"/>
      <c r="AC9" s="293"/>
      <c r="AD9" s="293"/>
      <c r="AE9" s="294"/>
      <c r="AF9" s="296"/>
      <c r="AG9" s="72"/>
      <c r="AI9" s="462" t="s">
        <v>82</v>
      </c>
      <c r="AJ9" s="463"/>
      <c r="AK9" s="292">
        <v>370</v>
      </c>
      <c r="AL9" s="293"/>
      <c r="AM9" s="293"/>
      <c r="AN9" s="293"/>
      <c r="AO9" s="293"/>
      <c r="AP9" s="294"/>
      <c r="AQ9" s="296"/>
      <c r="AR9" s="72"/>
      <c r="AT9" s="490"/>
      <c r="AU9" s="491"/>
      <c r="AV9" s="84"/>
      <c r="AW9" s="209"/>
      <c r="AX9" s="209"/>
      <c r="AY9" s="209"/>
      <c r="AZ9" s="209"/>
      <c r="BA9" s="309"/>
      <c r="BB9" s="157"/>
      <c r="BC9" s="157"/>
      <c r="BE9" s="462" t="s">
        <v>82</v>
      </c>
      <c r="BF9" s="463"/>
      <c r="BG9" s="292"/>
      <c r="BH9" s="293"/>
      <c r="BI9" s="293">
        <v>110</v>
      </c>
      <c r="BJ9" s="293"/>
      <c r="BK9" s="293"/>
      <c r="BL9" s="294"/>
      <c r="BM9" s="296"/>
      <c r="BN9" s="72"/>
      <c r="BP9" s="462" t="s">
        <v>82</v>
      </c>
      <c r="BQ9" s="463"/>
      <c r="BR9" s="292"/>
      <c r="BS9" s="293"/>
      <c r="BT9" s="293"/>
      <c r="BU9" s="293"/>
      <c r="BV9" s="293"/>
      <c r="BW9" s="294"/>
      <c r="BX9" s="296"/>
      <c r="BY9" s="72"/>
      <c r="CA9" s="490"/>
      <c r="CB9" s="491"/>
      <c r="CC9" s="84"/>
      <c r="CD9" s="209"/>
      <c r="CE9" s="209"/>
      <c r="CF9" s="209"/>
      <c r="CG9" s="209"/>
      <c r="CH9" s="309"/>
      <c r="CI9" s="157"/>
      <c r="CJ9" s="157"/>
      <c r="CL9" s="462" t="s">
        <v>82</v>
      </c>
      <c r="CM9" s="463"/>
      <c r="CN9" s="292">
        <f>40+220+175</f>
        <v>435</v>
      </c>
      <c r="CO9" s="293">
        <v>320</v>
      </c>
      <c r="CP9" s="293">
        <v>200</v>
      </c>
      <c r="CQ9" s="293"/>
      <c r="CR9" s="293"/>
      <c r="CS9" s="294"/>
      <c r="CT9" s="296"/>
      <c r="CU9" s="72"/>
      <c r="CW9" s="490"/>
      <c r="CX9" s="491"/>
      <c r="CY9" s="84"/>
      <c r="CZ9" s="209"/>
      <c r="DA9" s="209"/>
      <c r="DB9" s="209"/>
      <c r="DC9" s="209"/>
      <c r="DD9" s="309"/>
      <c r="DE9" s="157"/>
      <c r="DF9" s="157"/>
      <c r="DH9" s="505" t="s">
        <v>82</v>
      </c>
      <c r="DI9" s="516"/>
      <c r="DJ9" s="292"/>
      <c r="DK9" s="293"/>
      <c r="DL9" s="293"/>
      <c r="DM9" s="293"/>
      <c r="DN9" s="293"/>
      <c r="DO9" s="294"/>
      <c r="DP9" s="296"/>
      <c r="DQ9" s="72"/>
      <c r="DS9" s="495"/>
      <c r="DT9" s="496"/>
      <c r="DU9" s="84"/>
      <c r="DV9" s="209"/>
      <c r="DW9" s="209"/>
      <c r="DX9" s="209"/>
      <c r="DY9" s="209"/>
      <c r="DZ9" s="309"/>
      <c r="EA9" s="157"/>
      <c r="EB9" s="157"/>
      <c r="ED9" s="505" t="s">
        <v>82</v>
      </c>
      <c r="EE9" s="516"/>
      <c r="EF9" s="292"/>
      <c r="EG9" s="293"/>
      <c r="EH9" s="293"/>
      <c r="EI9" s="293"/>
      <c r="EJ9" s="293"/>
      <c r="EK9" s="294"/>
      <c r="EL9" s="296"/>
      <c r="EM9" s="72"/>
      <c r="EO9" s="495"/>
      <c r="EP9" s="496"/>
      <c r="EQ9" s="84"/>
      <c r="ER9" s="209"/>
      <c r="ES9" s="209"/>
      <c r="ET9" s="209"/>
      <c r="EU9" s="209"/>
      <c r="EV9" s="309"/>
      <c r="EW9" s="157"/>
      <c r="EX9" s="157"/>
      <c r="EZ9" s="505" t="s">
        <v>82</v>
      </c>
      <c r="FA9" s="516"/>
      <c r="FB9" s="292"/>
      <c r="FC9" s="293"/>
      <c r="FD9" s="293"/>
      <c r="FE9" s="293"/>
      <c r="FF9" s="293"/>
      <c r="FG9" s="294"/>
      <c r="FH9" s="296"/>
      <c r="FI9" s="72"/>
      <c r="FK9" s="495" t="s">
        <v>82</v>
      </c>
      <c r="FL9" s="522"/>
      <c r="FM9" s="83"/>
      <c r="FN9" s="209"/>
      <c r="FO9" s="209"/>
      <c r="FP9" s="209"/>
      <c r="FQ9" s="209"/>
      <c r="FR9" s="309"/>
      <c r="FS9" s="149"/>
    </row>
    <row r="10" spans="2:176" ht="14.25" hidden="1" thickBot="1">
      <c r="B10" s="478" t="s">
        <v>5</v>
      </c>
      <c r="C10" s="222" t="s">
        <v>24</v>
      </c>
      <c r="D10" s="69">
        <f>IF(D12&lt;&gt;"○",0,J12)+IF(D13&lt;&gt;"○",0,J13)+IF(D14&lt;&gt;"○",0,J14)+IF(D15&lt;&gt;"○",0,J15)+IF(D16&lt;&gt;"○",0,J16)+IF(D17&lt;&gt;"○",0,J17)</f>
        <v>0</v>
      </c>
      <c r="E10" s="291">
        <f>IF(E12&lt;&gt;"○",0,J12)+IF(E13&lt;&gt;"○",0,J13)+IF(E14&lt;&gt;"○",0,J14)+IF(E15&lt;&gt;"○",0,J15)+IF(E16&lt;&gt;"○",0,J16)+IF(E17&lt;&gt;"○",0,J17)</f>
        <v>0</v>
      </c>
      <c r="F10" s="69">
        <f>IF(F12&lt;&gt;"○",0,J12)+IF(F13&lt;&gt;"○",0,J13)+IF(F14&lt;&gt;"○",0,J14)+IF(F15&lt;&gt;"○",0,J15)+IF(F16&lt;&gt;"○",0,J16)+IF(F17&lt;&gt;"○",0,J17)</f>
        <v>0</v>
      </c>
      <c r="G10" s="69">
        <f>IF(G12&lt;&gt;"○",0,J12)+IF(G13&lt;&gt;"○",0,J13)+IF(G14&lt;&gt;"○",0,J14)+IF(G15&lt;&gt;"○",0,J15)+IF(G16&lt;&gt;"○",0,J16)+IF(G17&lt;&gt;"○",0,J17)</f>
        <v>0</v>
      </c>
      <c r="H10" s="69">
        <f>IF(H12&lt;&gt;"○",0,J12)+IF(H13&lt;&gt;"○",0,J13)+IF(H14&lt;&gt;"○",0,J14)+IF(H15&lt;&gt;"○",0,J15)+IF(H16&lt;&gt;"○",0,J16)+IF(H17&lt;&gt;"○",0,J17)</f>
        <v>0</v>
      </c>
      <c r="I10" s="70">
        <f>IF(I12&lt;&gt;"○",0,J12)+IF(I13&lt;&gt;"○",0,J13)+IF(I14&lt;&gt;"○",0,J14)+IF(I15&lt;&gt;"○",0,J15)+IF(I16&lt;&gt;"○",0,J16)+IF(I17&lt;&gt;"○",0,J17)</f>
        <v>0</v>
      </c>
      <c r="J10" s="485" t="s">
        <v>71</v>
      </c>
      <c r="K10" s="188"/>
      <c r="M10" s="478" t="s">
        <v>5</v>
      </c>
      <c r="N10" s="162" t="s">
        <v>24</v>
      </c>
      <c r="O10" s="68">
        <f>IF(O12&lt;&gt;"○",0,V12)+IF(O13&lt;&gt;"○",0,V13)+IF(O14&lt;&gt;"○",0,V14)+IF(O15&lt;&gt;"○",0,V15)+IF(O16&lt;&gt;"○",0,V16)+IF(O17&lt;&gt;"○",0,V17)</f>
        <v>0</v>
      </c>
      <c r="P10" s="291">
        <f>IF(P12&lt;&gt;"○",0,V12)+IF(P13&lt;&gt;"○",0,V13)+IF(P14&lt;&gt;"○",0,V14)+IF(P15&lt;&gt;"○",0,V15)+IF(P16&lt;&gt;"○",0,V16)+IF(P17&lt;&gt;"○",0,V17)</f>
        <v>0</v>
      </c>
      <c r="Q10" s="69">
        <f>IF(Q12&lt;&gt;"○",0,V12)+IF(Q13&lt;&gt;"○",0,V13)+IF(Q14&lt;&gt;"○",0,V14)+IF(Q15&lt;&gt;"○",0,V15)+IF(Q16&lt;&gt;"○",0,V16)+IF(Q17&lt;&gt;"○",0,V17)</f>
        <v>0</v>
      </c>
      <c r="R10" s="69">
        <f>IF(R12&lt;&gt;"○",0,V12)+IF(R13&lt;&gt;"○",0,V13)+IF(R14&lt;&gt;"○",0,V14)+IF(R15&lt;&gt;"○",0,V15)+IF(R16&lt;&gt;"○",0,V16)+IF(R17&lt;&gt;"○",0,V17)</f>
        <v>0</v>
      </c>
      <c r="S10" s="69">
        <f>IF(S12&lt;&gt;"○",0,V12)+IF(S13&lt;&gt;"○",0,V13)+IF(S14&lt;&gt;"○",0,V14)+IF(S15&lt;&gt;"○",0,V15)+IF(S16&lt;&gt;"○",0,V16)+IF(S17&lt;&gt;"○",0,V17)</f>
        <v>0</v>
      </c>
      <c r="T10" s="70">
        <f>IF(T12&lt;&gt;"○",0,V12)+IF(T13&lt;&gt;"○",0,V13)+IF(T14&lt;&gt;"○",0,V14)+IF(T15&lt;&gt;"○",0,V15)+IF(T16&lt;&gt;"○",0,V16)+IF(T17&lt;&gt;"○",0,V17)</f>
        <v>0</v>
      </c>
      <c r="U10" s="454" t="s">
        <v>20</v>
      </c>
      <c r="V10" s="456" t="s">
        <v>31</v>
      </c>
      <c r="X10" s="478" t="s">
        <v>5</v>
      </c>
      <c r="Y10" s="162" t="s">
        <v>24</v>
      </c>
      <c r="Z10" s="68">
        <f>IF(Z12&lt;&gt;"○",0,AG12)+IF(Z13&lt;&gt;"○",0,AG13)+IF(Z14&lt;&gt;"○",0,AG14)+IF(Z15&lt;&gt;"○",0,AG15)+IF(Z16&lt;&gt;"○",0,AG16)+IF(Z17&lt;&gt;"○",0,AG17)</f>
        <v>0</v>
      </c>
      <c r="AA10" s="291">
        <f>IF(AA12&lt;&gt;"○",0,AG12)+IF(AA13&lt;&gt;"○",0,AG13)+IF(AA14&lt;&gt;"○",0,AG14)+IF(AA15&lt;&gt;"○",0,AG15)+IF(AA16&lt;&gt;"○",0,AG16)+IF(AA17&lt;&gt;"○",0,AG17)</f>
        <v>0</v>
      </c>
      <c r="AB10" s="69">
        <f>IF(AB12&lt;&gt;"○",0,AG12)+IF(AB13&lt;&gt;"○",0,AG13)+IF(AB14&lt;&gt;"○",0,AG14)+IF(AB15&lt;&gt;"○",0,AG15)+IF(AB16&lt;&gt;"○",0,AG16)+IF(AB17&lt;&gt;"○",0,AG17)</f>
        <v>0</v>
      </c>
      <c r="AC10" s="69">
        <f>IF(AC12&lt;&gt;"○",0,AG12)+IF(AC13&lt;&gt;"○",0,AG13)+IF(AC14&lt;&gt;"○",0,AG14)+IF(AC15&lt;&gt;"○",0,AG15)+IF(AC16&lt;&gt;"○",0,AG16)+IF(AC17&lt;&gt;"○",0,AG17)</f>
        <v>0</v>
      </c>
      <c r="AD10" s="69">
        <f>IF(AD12&lt;&gt;"○",0,AG12)+IF(AD13&lt;&gt;"○",0,AG13)+IF(AD14&lt;&gt;"○",0,AG14)+IF(AD15&lt;&gt;"○",0,AG15)+IF(AD16&lt;&gt;"○",0,AG16)+IF(AD17&lt;&gt;"○",0,AG17)</f>
        <v>0</v>
      </c>
      <c r="AE10" s="70">
        <f>IF(AE12&lt;&gt;"○",0,AG12)+IF(AE13&lt;&gt;"○",0,AG13)+IF(AE14&lt;&gt;"○",0,AG14)+IF(AE15&lt;&gt;"○",0,AG15)+IF(AE16&lt;&gt;"○",0,AG16)+IF(AE17&lt;&gt;"○",0,AG17)</f>
        <v>0</v>
      </c>
      <c r="AF10" s="454" t="s">
        <v>20</v>
      </c>
      <c r="AG10" s="456" t="s">
        <v>31</v>
      </c>
      <c r="AI10" s="478" t="s">
        <v>5</v>
      </c>
      <c r="AJ10" s="162" t="s">
        <v>24</v>
      </c>
      <c r="AK10" s="68">
        <f>IF(AK12&lt;&gt;"○",0,AR12)+IF(AK13&lt;&gt;"○",0,AR13)+IF(AK14&lt;&gt;"○",0,AR14)+IF(AK15&lt;&gt;"○",0,AR15)+IF(AK16&lt;&gt;"○",0,AR16)+IF(AK17&lt;&gt;"○",0,AR17)</f>
        <v>0</v>
      </c>
      <c r="AL10" s="291">
        <f>IF(AL12&lt;&gt;"○",0,AR12)+IF(AL13&lt;&gt;"○",0,AR13)+IF(AL14&lt;&gt;"○",0,AR14)+IF(AL15&lt;&gt;"○",0,AR15)+IF(AL16&lt;&gt;"○",0,AR16)+IF(AL17&lt;&gt;"○",0,AR17)</f>
        <v>0</v>
      </c>
      <c r="AM10" s="69">
        <f>IF(AM12&lt;&gt;"○",0,AR12)+IF(AM13&lt;&gt;"○",0,AR13)+IF(AM14&lt;&gt;"○",0,AR14)+IF(AM15&lt;&gt;"○",0,AR15)+IF(AM16&lt;&gt;"○",0,AR16)+IF(AM17&lt;&gt;"○",0,AR17)</f>
        <v>0</v>
      </c>
      <c r="AN10" s="69">
        <f>IF(AN12&lt;&gt;"○",0,AR12)+IF(AN13&lt;&gt;"○",0,AR13)+IF(AN14&lt;&gt;"○",0,AR14)+IF(AN15&lt;&gt;"○",0,AR15)+IF(AN16&lt;&gt;"○",0,AR16)+IF(AN17&lt;&gt;"○",0,AR17)</f>
        <v>0</v>
      </c>
      <c r="AO10" s="69">
        <f>IF(AO12&lt;&gt;"○",0,AR12)+IF(AO13&lt;&gt;"○",0,AR13)+IF(AO14&lt;&gt;"○",0,AR14)+IF(AO15&lt;&gt;"○",0,AR15)+IF(AO16&lt;&gt;"○",0,AR16)+IF(AO17&lt;&gt;"○",0,AR17)</f>
        <v>0</v>
      </c>
      <c r="AP10" s="70">
        <f>IF(AP12&lt;&gt;"○",0,AR12)+IF(AP13&lt;&gt;"○",0,AR13)+IF(AP14&lt;&gt;"○",0,AR14)+IF(AP15&lt;&gt;"○",0,AR15)+IF(AP16&lt;&gt;"○",0,AR16)+IF(AP17&lt;&gt;"○",0,AR17)</f>
        <v>0</v>
      </c>
      <c r="AQ10" s="454" t="s">
        <v>20</v>
      </c>
      <c r="AR10" s="456" t="s">
        <v>31</v>
      </c>
      <c r="AT10" s="478" t="s">
        <v>5</v>
      </c>
      <c r="AU10" s="222" t="s">
        <v>24</v>
      </c>
      <c r="AV10" s="69">
        <f>IF(AV12&lt;&gt;"○",0,BB12)+IF(AV13&lt;&gt;"○",0,BB13)+IF(AV14&lt;&gt;"○",0,BB14)+IF(AV15&lt;&gt;"○",0,BB15)+IF(AV16&lt;&gt;"○",0,BB16)+IF(AV17&lt;&gt;"○",0,BB17)</f>
        <v>0</v>
      </c>
      <c r="AW10" s="291">
        <f>IF(AW12&lt;&gt;"○",0,BB12)+IF(AW13&lt;&gt;"○",0,BB13)+IF(AW14&lt;&gt;"○",0,BB14)+IF(AW15&lt;&gt;"○",0,BB15)+IF(AW16&lt;&gt;"○",0,BB16)+IF(AW17&lt;&gt;"○",0,BB17)</f>
        <v>0</v>
      </c>
      <c r="AX10" s="69">
        <f>IF(AX12&lt;&gt;"○",0,BB12)+IF(AX13&lt;&gt;"○",0,BB13)+IF(AX14&lt;&gt;"○",0,BB14)+IF(AX15&lt;&gt;"○",0,BB15)+IF(AX16&lt;&gt;"○",0,BB16)+IF(AX17&lt;&gt;"○",0,BB17)</f>
        <v>0</v>
      </c>
      <c r="AY10" s="69">
        <f>IF(AY12&lt;&gt;"○",0,BB12)+IF(AY13&lt;&gt;"○",0,BB13)+IF(AY14&lt;&gt;"○",0,BB14)+IF(AY15&lt;&gt;"○",0,BB15)+IF(AY16&lt;&gt;"○",0,BB16)+IF(AY17&lt;&gt;"○",0,BB17)</f>
        <v>0</v>
      </c>
      <c r="AZ10" s="69">
        <f>IF(AZ12&lt;&gt;"○",0,BB12)+IF(AZ13&lt;&gt;"○",0,BB13)+IF(AZ14&lt;&gt;"○",0,BB14)+IF(AZ15&lt;&gt;"○",0,BB15)+IF(AZ16&lt;&gt;"○",0,BB16)+IF(AZ17&lt;&gt;"○",0,BB17)</f>
        <v>0</v>
      </c>
      <c r="BA10" s="70">
        <f>IF(BA12&lt;&gt;"○",0,BB12)+IF(BA13&lt;&gt;"○",0,BB13)+IF(BA14&lt;&gt;"○",0,BB14)+IF(BA15&lt;&gt;"○",0,BB15)+IF(BA16&lt;&gt;"○",0,BB16)+IF(BA17&lt;&gt;"○",0,BB17)</f>
        <v>0</v>
      </c>
      <c r="BB10" s="485" t="s">
        <v>71</v>
      </c>
      <c r="BC10" s="188"/>
      <c r="BE10" s="478" t="s">
        <v>5</v>
      </c>
      <c r="BF10" s="162" t="s">
        <v>24</v>
      </c>
      <c r="BG10" s="68">
        <f>IF(BG12&lt;&gt;"○",0,BN12)+IF(BG13&lt;&gt;"○",0,BN13)+IF(BG14&lt;&gt;"○",0,BN14)+IF(BG15&lt;&gt;"○",0,BN15)+IF(BG16&lt;&gt;"○",0,BN16)+IF(BG17&lt;&gt;"○",0,BN17)</f>
        <v>0</v>
      </c>
      <c r="BH10" s="291">
        <f>IF(BH12&lt;&gt;"○",0,BN12)+IF(BH13&lt;&gt;"○",0,BN13)+IF(BH14&lt;&gt;"○",0,BN14)+IF(BH15&lt;&gt;"○",0,BN15)+IF(BH16&lt;&gt;"○",0,BN16)+IF(BH17&lt;&gt;"○",0,BN17)</f>
        <v>0</v>
      </c>
      <c r="BI10" s="69">
        <f>IF(BI12&lt;&gt;"○",0,BN12)+IF(BI13&lt;&gt;"○",0,BN13)+IF(BI14&lt;&gt;"○",0,BN14)+IF(BI15&lt;&gt;"○",0,BN15)+IF(BI16&lt;&gt;"○",0,BN16)+IF(BI17&lt;&gt;"○",0,BN17)</f>
        <v>0</v>
      </c>
      <c r="BJ10" s="69">
        <f>IF(BJ12&lt;&gt;"○",0,BN12)+IF(BJ13&lt;&gt;"○",0,BN13)+IF(BJ14&lt;&gt;"○",0,BN14)+IF(BJ15&lt;&gt;"○",0,BN15)+IF(BJ16&lt;&gt;"○",0,BN16)+IF(BJ17&lt;&gt;"○",0,BN17)</f>
        <v>0</v>
      </c>
      <c r="BK10" s="69">
        <f>IF(BK12&lt;&gt;"○",0,BN12)+IF(BK13&lt;&gt;"○",0,BN13)+IF(BK14&lt;&gt;"○",0,BN14)+IF(BK15&lt;&gt;"○",0,BN15)+IF(BK16&lt;&gt;"○",0,BN16)+IF(BK17&lt;&gt;"○",0,BN17)</f>
        <v>0</v>
      </c>
      <c r="BL10" s="70">
        <f>IF(BL12&lt;&gt;"○",0,BN12)+IF(BL13&lt;&gt;"○",0,BN13)+IF(BL14&lt;&gt;"○",0,BN14)+IF(BL15&lt;&gt;"○",0,BN15)+IF(BL16&lt;&gt;"○",0,BN16)+IF(BL17&lt;&gt;"○",0,BN17)</f>
        <v>0</v>
      </c>
      <c r="BM10" s="454" t="s">
        <v>20</v>
      </c>
      <c r="BN10" s="456" t="s">
        <v>31</v>
      </c>
      <c r="BP10" s="478" t="s">
        <v>5</v>
      </c>
      <c r="BQ10" s="162" t="s">
        <v>24</v>
      </c>
      <c r="BR10" s="68">
        <f>IF(BR12&lt;&gt;"○",0,BY12)+IF(BR13&lt;&gt;"○",0,BY13)+IF(BR14&lt;&gt;"○",0,BY14)+IF(BR15&lt;&gt;"○",0,BY15)+IF(BR16&lt;&gt;"○",0,BY16)+IF(BR17&lt;&gt;"○",0,BY17)</f>
        <v>0</v>
      </c>
      <c r="BS10" s="291">
        <f>IF(BS12&lt;&gt;"○",0,BY12)+IF(BS13&lt;&gt;"○",0,BY13)+IF(BS14&lt;&gt;"○",0,BY14)+IF(BS15&lt;&gt;"○",0,BY15)+IF(BS16&lt;&gt;"○",0,BY16)+IF(BS17&lt;&gt;"○",0,BY17)</f>
        <v>0</v>
      </c>
      <c r="BT10" s="69">
        <f>IF(BT12&lt;&gt;"○",0,BY12)+IF(BT13&lt;&gt;"○",0,BY13)+IF(BT14&lt;&gt;"○",0,BY14)+IF(BT15&lt;&gt;"○",0,BY15)+IF(BT16&lt;&gt;"○",0,BY16)+IF(BT17&lt;&gt;"○",0,BY17)</f>
        <v>0</v>
      </c>
      <c r="BU10" s="69">
        <f>IF(BU12&lt;&gt;"○",0,BY12)+IF(BU13&lt;&gt;"○",0,BY13)+IF(BU14&lt;&gt;"○",0,BY14)+IF(BU15&lt;&gt;"○",0,BY15)+IF(BU16&lt;&gt;"○",0,BY16)+IF(BU17&lt;&gt;"○",0,BY17)</f>
        <v>0</v>
      </c>
      <c r="BV10" s="69">
        <f>IF(BV12&lt;&gt;"○",0,BY12)+IF(BV13&lt;&gt;"○",0,BY13)+IF(BV14&lt;&gt;"○",0,BY14)+IF(BV15&lt;&gt;"○",0,BY15)+IF(BV16&lt;&gt;"○",0,BY16)+IF(BV17&lt;&gt;"○",0,BY17)</f>
        <v>0</v>
      </c>
      <c r="BW10" s="70">
        <f>IF(BW12&lt;&gt;"○",0,BY12)+IF(BW13&lt;&gt;"○",0,BY13)+IF(BW14&lt;&gt;"○",0,BY14)+IF(BW15&lt;&gt;"○",0,BY15)+IF(BW16&lt;&gt;"○",0,BY16)+IF(BW17&lt;&gt;"○",0,BY17)</f>
        <v>0</v>
      </c>
      <c r="BX10" s="454" t="s">
        <v>20</v>
      </c>
      <c r="BY10" s="456" t="s">
        <v>31</v>
      </c>
      <c r="CA10" s="478" t="s">
        <v>5</v>
      </c>
      <c r="CB10" s="222" t="s">
        <v>24</v>
      </c>
      <c r="CC10" s="69">
        <f>IF(CC12&lt;&gt;"○",0,CI12)+IF(CC13&lt;&gt;"○",0,CI13)+IF(CC14&lt;&gt;"○",0,CI14)+IF(CC15&lt;&gt;"○",0,CI15)+IF(CC16&lt;&gt;"○",0,CI16)+IF(CC17&lt;&gt;"○",0,CI17)</f>
        <v>0</v>
      </c>
      <c r="CD10" s="291">
        <f>IF(CD12&lt;&gt;"○",0,CI12)+IF(CD13&lt;&gt;"○",0,CI13)+IF(CD14&lt;&gt;"○",0,CI14)+IF(CD15&lt;&gt;"○",0,CI15)+IF(CD16&lt;&gt;"○",0,CI16)+IF(CD17&lt;&gt;"○",0,CI17)</f>
        <v>0</v>
      </c>
      <c r="CE10" s="69">
        <f>IF(CE12&lt;&gt;"○",0,CI12)+IF(CE13&lt;&gt;"○",0,CI13)+IF(CE14&lt;&gt;"○",0,CI14)+IF(CE15&lt;&gt;"○",0,CI15)+IF(CE16&lt;&gt;"○",0,CI16)+IF(CE17&lt;&gt;"○",0,CI17)</f>
        <v>0</v>
      </c>
      <c r="CF10" s="69">
        <f>IF(CF12&lt;&gt;"○",0,CI12)+IF(CF13&lt;&gt;"○",0,CI13)+IF(CF14&lt;&gt;"○",0,CI14)+IF(CF15&lt;&gt;"○",0,CI15)+IF(CF16&lt;&gt;"○",0,CI16)+IF(CF17&lt;&gt;"○",0,CI17)</f>
        <v>0</v>
      </c>
      <c r="CG10" s="69">
        <f>IF(CG12&lt;&gt;"○",0,CI12)+IF(CG13&lt;&gt;"○",0,CI13)+IF(CG14&lt;&gt;"○",0,CI14)+IF(CG15&lt;&gt;"○",0,CI15)+IF(CG16&lt;&gt;"○",0,CI16)+IF(CG17&lt;&gt;"○",0,CI17)</f>
        <v>0</v>
      </c>
      <c r="CH10" s="70">
        <f>IF(CH12&lt;&gt;"○",0,CI12)+IF(CH13&lt;&gt;"○",0,CI13)+IF(CH14&lt;&gt;"○",0,CI14)+IF(CH15&lt;&gt;"○",0,CI15)+IF(CH16&lt;&gt;"○",0,CI16)+IF(CH17&lt;&gt;"○",0,CI17)</f>
        <v>0</v>
      </c>
      <c r="CI10" s="485" t="s">
        <v>71</v>
      </c>
      <c r="CJ10" s="188"/>
      <c r="CL10" s="478" t="s">
        <v>5</v>
      </c>
      <c r="CM10" s="162" t="s">
        <v>24</v>
      </c>
      <c r="CN10" s="68">
        <f>IF(CN12&lt;&gt;"○",0,CU12)+IF(CN13&lt;&gt;"○",0,CU13)+IF(CN14&lt;&gt;"○",0,CU14)+IF(CN15&lt;&gt;"○",0,CU15)+IF(CN16&lt;&gt;"○",0,CU16)+IF(CN17&lt;&gt;"○",0,CU17)</f>
        <v>0</v>
      </c>
      <c r="CO10" s="291">
        <f>IF(CO12&lt;&gt;"○",0,CU12)+IF(CO13&lt;&gt;"○",0,CU13)+IF(CO14&lt;&gt;"○",0,CU14)+IF(CO15&lt;&gt;"○",0,CU15)+IF(CO16&lt;&gt;"○",0,CU16)+IF(CO17&lt;&gt;"○",0,CU17)</f>
        <v>0</v>
      </c>
      <c r="CP10" s="69">
        <f>IF(CP12&lt;&gt;"○",0,CU12)+IF(CP13&lt;&gt;"○",0,CU13)+IF(CP14&lt;&gt;"○",0,CU14)+IF(CP15&lt;&gt;"○",0,CU15)+IF(CP16&lt;&gt;"○",0,CU16)+IF(CP17&lt;&gt;"○",0,CU17)</f>
        <v>0</v>
      </c>
      <c r="CQ10" s="69">
        <f>IF(CQ12&lt;&gt;"○",0,CU12)+IF(CQ13&lt;&gt;"○",0,CU13)+IF(CQ14&lt;&gt;"○",0,CU14)+IF(CQ15&lt;&gt;"○",0,CU15)+IF(CQ16&lt;&gt;"○",0,CU16)+IF(CQ17&lt;&gt;"○",0,CU17)</f>
        <v>0</v>
      </c>
      <c r="CR10" s="69">
        <f>IF(CR12&lt;&gt;"○",0,CU12)+IF(CR13&lt;&gt;"○",0,CU13)+IF(CR14&lt;&gt;"○",0,CU14)+IF(CR15&lt;&gt;"○",0,CU15)+IF(CR16&lt;&gt;"○",0,CU16)+IF(CR17&lt;&gt;"○",0,CU17)</f>
        <v>0</v>
      </c>
      <c r="CS10" s="70">
        <f>IF(CS12&lt;&gt;"○",0,CU12)+IF(CS13&lt;&gt;"○",0,CU13)+IF(CS14&lt;&gt;"○",0,CU14)+IF(CS15&lt;&gt;"○",0,CU15)+IF(CS16&lt;&gt;"○",0,CU16)+IF(CS17&lt;&gt;"○",0,CU17)</f>
        <v>0</v>
      </c>
      <c r="CT10" s="454" t="s">
        <v>20</v>
      </c>
      <c r="CU10" s="456" t="s">
        <v>31</v>
      </c>
      <c r="CW10" s="478" t="s">
        <v>5</v>
      </c>
      <c r="CX10" s="222" t="s">
        <v>24</v>
      </c>
      <c r="CY10" s="69">
        <f>IF(CY12&lt;&gt;"○",0,DE12)+IF(CY13&lt;&gt;"○",0,DE13)+IF(CY14&lt;&gt;"○",0,DE14)+IF(CY15&lt;&gt;"○",0,DE15)+IF(CY16&lt;&gt;"○",0,DE16)+IF(CY17&lt;&gt;"○",0,DE17)</f>
        <v>130</v>
      </c>
      <c r="CZ10" s="291">
        <f>IF(CZ12&lt;&gt;"○",0,DE12)+IF(CZ13&lt;&gt;"○",0,DE13)+IF(CZ14&lt;&gt;"○",0,DE14)+IF(CZ15&lt;&gt;"○",0,DE15)+IF(CZ16&lt;&gt;"○",0,DE16)+IF(CZ17&lt;&gt;"○",0,DE17)</f>
        <v>160</v>
      </c>
      <c r="DA10" s="69">
        <f>IF(DA12&lt;&gt;"○",0,DE12)+IF(DA13&lt;&gt;"○",0,DE13)+IF(DA14&lt;&gt;"○",0,DE14)+IF(DA15&lt;&gt;"○",0,DE15)+IF(DA16&lt;&gt;"○",0,DE16)+IF(DA17&lt;&gt;"○",0,DE17)</f>
        <v>110</v>
      </c>
      <c r="DB10" s="69">
        <f>IF(DB12&lt;&gt;"○",0,DE12)+IF(DB13&lt;&gt;"○",0,DE13)+IF(DB14&lt;&gt;"○",0,DE14)+IF(DB15&lt;&gt;"○",0,DE15)+IF(DB16&lt;&gt;"○",0,DE16)+IF(DB17&lt;&gt;"○",0,DE17)</f>
        <v>0</v>
      </c>
      <c r="DC10" s="69">
        <f>IF(DC12&lt;&gt;"○",0,DE12)+IF(DC13&lt;&gt;"○",0,DE13)+IF(DC14&lt;&gt;"○",0,DE14)+IF(DC15&lt;&gt;"○",0,DE15)+IF(DC16&lt;&gt;"○",0,DE16)+IF(DC17&lt;&gt;"○",0,DE17)</f>
        <v>0</v>
      </c>
      <c r="DD10" s="70">
        <f>IF(DD12&lt;&gt;"○",0,DE12)+IF(DD13&lt;&gt;"○",0,DE13)+IF(DD14&lt;&gt;"○",0,DE14)+IF(DD15&lt;&gt;"○",0,DE15)+IF(DD16&lt;&gt;"○",0,DE16)+IF(DD17&lt;&gt;"○",0,DE17)</f>
        <v>0</v>
      </c>
      <c r="DE10" s="485" t="s">
        <v>71</v>
      </c>
      <c r="DF10" s="188"/>
      <c r="DH10" s="479" t="s">
        <v>5</v>
      </c>
      <c r="DI10" s="162" t="s">
        <v>24</v>
      </c>
      <c r="DJ10" s="68">
        <f>IF(DJ12&lt;&gt;"○",0,DQ12)+IF(DJ13&lt;&gt;"○",0,DQ13)+IF(DJ14&lt;&gt;"○",0,DQ14)+IF(DJ15&lt;&gt;"○",0,DQ15)+IF(DJ16&lt;&gt;"○",0,DQ16)+IF(DJ17&lt;&gt;"○",0,DQ17)</f>
        <v>130</v>
      </c>
      <c r="DK10" s="291">
        <f>IF(DK12&lt;&gt;"○",0,DQ12)+IF(DK13&lt;&gt;"○",0,DQ13)+IF(DK14&lt;&gt;"○",0,DQ14)+IF(DK15&lt;&gt;"○",0,DQ15)+IF(DK16&lt;&gt;"○",0,DQ16)+IF(DK17&lt;&gt;"○",0,DQ17)</f>
        <v>160</v>
      </c>
      <c r="DL10" s="69">
        <f>IF(DL12&lt;&gt;"○",0,DQ12)+IF(DL13&lt;&gt;"○",0,DQ13)+IF(DL14&lt;&gt;"○",0,DQ14)+IF(DL15&lt;&gt;"○",0,DQ15)+IF(DL16&lt;&gt;"○",0,DQ16)+IF(DL17&lt;&gt;"○",0,DQ17)</f>
        <v>110</v>
      </c>
      <c r="DM10" s="69">
        <f>IF(DM12&lt;&gt;"○",0,DQ12)+IF(DM13&lt;&gt;"○",0,DQ13)+IF(DM14&lt;&gt;"○",0,DQ14)+IF(DM15&lt;&gt;"○",0,DQ15)+IF(DM16&lt;&gt;"○",0,DQ16)+IF(DM17&lt;&gt;"○",0,DQ17)</f>
        <v>0</v>
      </c>
      <c r="DN10" s="69">
        <f>IF(DN12&lt;&gt;"○",0,DQ12)+IF(DN13&lt;&gt;"○",0,DQ13)+IF(DN14&lt;&gt;"○",0,DQ14)+IF(DN15&lt;&gt;"○",0,DQ15)+IF(DN16&lt;&gt;"○",0,DQ16)+IF(DN17&lt;&gt;"○",0,DQ17)</f>
        <v>0</v>
      </c>
      <c r="DO10" s="70">
        <f>IF(DO12&lt;&gt;"○",0,DQ12)+IF(DO13&lt;&gt;"○",0,DQ13)+IF(DO14&lt;&gt;"○",0,DQ14)+IF(DO15&lt;&gt;"○",0,DQ15)+IF(DO16&lt;&gt;"○",0,DQ16)+IF(DO17&lt;&gt;"○",0,DQ17)</f>
        <v>0</v>
      </c>
      <c r="DP10" s="511" t="s">
        <v>20</v>
      </c>
      <c r="DQ10" s="456" t="s">
        <v>31</v>
      </c>
      <c r="DS10" s="479" t="s">
        <v>5</v>
      </c>
      <c r="DT10" s="222" t="s">
        <v>24</v>
      </c>
      <c r="DU10" s="69">
        <f>IF(DU12&lt;&gt;"○",0,EA12)+IF(DU13&lt;&gt;"○",0,EA13)+IF(DU14&lt;&gt;"○",0,EA14)+IF(DU15&lt;&gt;"○",0,EA15)+IF(DU16&lt;&gt;"○",0,EA16)+IF(DU17&lt;&gt;"○",0,EA17)</f>
        <v>130</v>
      </c>
      <c r="DV10" s="291">
        <f>IF(DV12&lt;&gt;"○",0,EA12)+IF(DV13&lt;&gt;"○",0,EA13)+IF(DV14&lt;&gt;"○",0,EA14)+IF(DV15&lt;&gt;"○",0,EA15)+IF(DV16&lt;&gt;"○",0,EA16)+IF(DV17&lt;&gt;"○",0,EA17)</f>
        <v>160</v>
      </c>
      <c r="DW10" s="69">
        <f>IF(DW12&lt;&gt;"○",0,EA12)+IF(DW13&lt;&gt;"○",0,EA13)+IF(DW14&lt;&gt;"○",0,EA14)+IF(DW15&lt;&gt;"○",0,EA15)+IF(DW16&lt;&gt;"○",0,EA16)+IF(DW17&lt;&gt;"○",0,EA17)</f>
        <v>110</v>
      </c>
      <c r="DX10" s="69">
        <f>IF(DX12&lt;&gt;"○",0,EA12)+IF(DX13&lt;&gt;"○",0,EA13)+IF(DX14&lt;&gt;"○",0,EA14)+IF(DX15&lt;&gt;"○",0,EA15)+IF(DX16&lt;&gt;"○",0,EA16)+IF(DX17&lt;&gt;"○",0,EA17)</f>
        <v>0</v>
      </c>
      <c r="DY10" s="69">
        <f>IF(DY12&lt;&gt;"○",0,EA12)+IF(DY13&lt;&gt;"○",0,EA13)+IF(DY14&lt;&gt;"○",0,EA14)+IF(DY15&lt;&gt;"○",0,EA15)+IF(DY16&lt;&gt;"○",0,EA16)+IF(DY17&lt;&gt;"○",0,EA17)</f>
        <v>0</v>
      </c>
      <c r="DZ10" s="70">
        <f>IF(DZ12&lt;&gt;"○",0,EA12)+IF(DZ13&lt;&gt;"○",0,EA13)+IF(DZ14&lt;&gt;"○",0,EA14)+IF(DZ15&lt;&gt;"○",0,EA15)+IF(DZ16&lt;&gt;"○",0,EA16)+IF(DZ17&lt;&gt;"○",0,EA17)</f>
        <v>0</v>
      </c>
      <c r="EA10" s="456" t="s">
        <v>71</v>
      </c>
      <c r="EB10" s="188"/>
      <c r="ED10" s="479" t="s">
        <v>5</v>
      </c>
      <c r="EE10" s="162" t="s">
        <v>24</v>
      </c>
      <c r="EF10" s="68">
        <f>IF(EF12&lt;&gt;"○",0,EM12)+IF(EF13&lt;&gt;"○",0,EM13)+IF(EF14&lt;&gt;"○",0,EM14)+IF(EF15&lt;&gt;"○",0,EM15)+IF(EF16&lt;&gt;"○",0,EM16)+IF(EF17&lt;&gt;"○",0,EM17)</f>
        <v>130</v>
      </c>
      <c r="EG10" s="291">
        <f>IF(EG12&lt;&gt;"○",0,EM12)+IF(EG13&lt;&gt;"○",0,EM13)+IF(EG14&lt;&gt;"○",0,EM14)+IF(EG15&lt;&gt;"○",0,EM15)+IF(EG16&lt;&gt;"○",0,EM16)+IF(EG17&lt;&gt;"○",0,EM17)</f>
        <v>160</v>
      </c>
      <c r="EH10" s="69">
        <f>IF(EH12&lt;&gt;"○",0,EM12)+IF(EH13&lt;&gt;"○",0,EM13)+IF(EH14&lt;&gt;"○",0,EM14)+IF(EH15&lt;&gt;"○",0,EM15)+IF(EH16&lt;&gt;"○",0,EM16)+IF(EH17&lt;&gt;"○",0,EM17)</f>
        <v>110</v>
      </c>
      <c r="EI10" s="69">
        <f>IF(EI12&lt;&gt;"○",0,EM12)+IF(EI13&lt;&gt;"○",0,EM13)+IF(EI14&lt;&gt;"○",0,EM14)+IF(EI15&lt;&gt;"○",0,EM15)+IF(EI16&lt;&gt;"○",0,EM16)+IF(EI17&lt;&gt;"○",0,EM17)</f>
        <v>0</v>
      </c>
      <c r="EJ10" s="69">
        <f>IF(EJ12&lt;&gt;"○",0,EM12)+IF(EJ13&lt;&gt;"○",0,EM13)+IF(EJ14&lt;&gt;"○",0,EM14)+IF(EJ15&lt;&gt;"○",0,EM15)+IF(EJ16&lt;&gt;"○",0,EM16)+IF(EJ17&lt;&gt;"○",0,EM17)</f>
        <v>0</v>
      </c>
      <c r="EK10" s="70">
        <f>IF(EK12&lt;&gt;"○",0,EM12)+IF(EK13&lt;&gt;"○",0,EM13)+IF(EK14&lt;&gt;"○",0,EM14)+IF(EK15&lt;&gt;"○",0,EM15)+IF(EK16&lt;&gt;"○",0,EM16)+IF(EK17&lt;&gt;"○",0,EM17)</f>
        <v>0</v>
      </c>
      <c r="EL10" s="511" t="s">
        <v>20</v>
      </c>
      <c r="EM10" s="456" t="s">
        <v>31</v>
      </c>
      <c r="EO10" s="479" t="s">
        <v>5</v>
      </c>
      <c r="EP10" s="222" t="s">
        <v>24</v>
      </c>
      <c r="EQ10" s="69">
        <f>IF(EQ12&lt;&gt;"○",0,EW12)+IF(EQ13&lt;&gt;"○",0,EW13)+IF(EQ14&lt;&gt;"○",0,EW14)+IF(EQ15&lt;&gt;"○",0,EW15)+IF(EQ16&lt;&gt;"○",0,EW16)+IF(EQ17&lt;&gt;"○",0,EW17)</f>
        <v>130</v>
      </c>
      <c r="ER10" s="291">
        <f>IF(ER12&lt;&gt;"○",0,EW12)+IF(ER13&lt;&gt;"○",0,EW13)+IF(ER14&lt;&gt;"○",0,EW14)+IF(ER15&lt;&gt;"○",0,EW15)+IF(ER16&lt;&gt;"○",0,EW16)+IF(ER17&lt;&gt;"○",0,EW17)</f>
        <v>160</v>
      </c>
      <c r="ES10" s="69">
        <f>IF(ES12&lt;&gt;"○",0,EW12)+IF(ES13&lt;&gt;"○",0,EW13)+IF(ES14&lt;&gt;"○",0,EW14)+IF(ES15&lt;&gt;"○",0,EW15)+IF(ES16&lt;&gt;"○",0,EW16)+IF(ES17&lt;&gt;"○",0,EW17)</f>
        <v>110</v>
      </c>
      <c r="ET10" s="69">
        <f>IF(ET12&lt;&gt;"○",0,EW12)+IF(ET13&lt;&gt;"○",0,EW13)+IF(ET14&lt;&gt;"○",0,EW14)+IF(ET15&lt;&gt;"○",0,EW15)+IF(ET16&lt;&gt;"○",0,EW16)+IF(ET17&lt;&gt;"○",0,EW17)</f>
        <v>0</v>
      </c>
      <c r="EU10" s="69">
        <f>IF(EU12&lt;&gt;"○",0,EW12)+IF(EU13&lt;&gt;"○",0,EW13)+IF(EU14&lt;&gt;"○",0,EW14)+IF(EU15&lt;&gt;"○",0,EW15)+IF(EU16&lt;&gt;"○",0,EW16)+IF(EU17&lt;&gt;"○",0,EW17)</f>
        <v>0</v>
      </c>
      <c r="EV10" s="70">
        <f>IF(EV12&lt;&gt;"○",0,EW12)+IF(EV13&lt;&gt;"○",0,EW13)+IF(EV14&lt;&gt;"○",0,EW14)+IF(EV15&lt;&gt;"○",0,EW15)+IF(EV16&lt;&gt;"○",0,EW16)+IF(EV17&lt;&gt;"○",0,EW17)</f>
        <v>0</v>
      </c>
      <c r="EW10" s="456" t="s">
        <v>71</v>
      </c>
      <c r="EX10" s="188"/>
      <c r="EZ10" s="479" t="s">
        <v>5</v>
      </c>
      <c r="FA10" s="162" t="s">
        <v>24</v>
      </c>
      <c r="FB10" s="68">
        <f>IF(FB12&lt;&gt;"○",0,FI12)+IF(FB13&lt;&gt;"○",0,FI13)+IF(FB14&lt;&gt;"○",0,FI14)+IF(FB15&lt;&gt;"○",0,FI15)+IF(FB16&lt;&gt;"○",0,FI16)+IF(FB17&lt;&gt;"○",0,FI17)</f>
        <v>130</v>
      </c>
      <c r="FC10" s="291">
        <f>IF(FC12&lt;&gt;"○",0,FI12)+IF(FC13&lt;&gt;"○",0,FI13)+IF(FC14&lt;&gt;"○",0,FI14)+IF(FC15&lt;&gt;"○",0,FI15)+IF(FC16&lt;&gt;"○",0,FI16)+IF(FC17&lt;&gt;"○",0,FI17)</f>
        <v>160</v>
      </c>
      <c r="FD10" s="69">
        <f>IF(FD12&lt;&gt;"○",0,FI12)+IF(FD13&lt;&gt;"○",0,FI13)+IF(FD14&lt;&gt;"○",0,FI14)+IF(FD15&lt;&gt;"○",0,FI15)+IF(FD16&lt;&gt;"○",0,FI16)+IF(FD17&lt;&gt;"○",0,FI17)</f>
        <v>110</v>
      </c>
      <c r="FE10" s="69">
        <f>IF(FE12&lt;&gt;"○",0,FI12)+IF(FE13&lt;&gt;"○",0,FI13)+IF(FE14&lt;&gt;"○",0,FI14)+IF(FE15&lt;&gt;"○",0,FI15)+IF(FE16&lt;&gt;"○",0,FI16)+IF(FE17&lt;&gt;"○",0,FI17)</f>
        <v>0</v>
      </c>
      <c r="FF10" s="69">
        <f>IF(FF12&lt;&gt;"○",0,FI12)+IF(FF13&lt;&gt;"○",0,FI13)+IF(FF14&lt;&gt;"○",0,FI14)+IF(FF15&lt;&gt;"○",0,FI15)+IF(FF16&lt;&gt;"○",0,FI16)+IF(FF17&lt;&gt;"○",0,FI17)</f>
        <v>0</v>
      </c>
      <c r="FG10" s="70">
        <f>IF(FG12&lt;&gt;"○",0,FI12)+IF(FG13&lt;&gt;"○",0,FI13)+IF(FG14&lt;&gt;"○",0,FI14)+IF(FG15&lt;&gt;"○",0,FI15)+IF(FG16&lt;&gt;"○",0,FI16)+IF(FG17&lt;&gt;"○",0,FI17)</f>
        <v>0</v>
      </c>
      <c r="FH10" s="511" t="s">
        <v>20</v>
      </c>
      <c r="FI10" s="456" t="s">
        <v>31</v>
      </c>
      <c r="FK10" s="510" t="s">
        <v>5</v>
      </c>
      <c r="FL10" s="67" t="s">
        <v>24</v>
      </c>
      <c r="FM10" s="68">
        <f>IF(AND(FM12=FS12,FS12&gt;=FT12),FT12,0)+IF(AND(FM13=FS13,FS13&gt;=FT13),FT13,0)+IF(AND(FM14=FS14,FS14,FT14),FT14,0)+IF(AND(FM15=FS15,FS15&gt;=FT15),FT15,0)+IF(AND(FM16=FS16,FS16&gt;=FT16),FT16,0)+IF(AND(FM17=FS17,FS17&gt;=FT17),FT17,0)</f>
        <v>130</v>
      </c>
      <c r="FN10" s="142">
        <f>IF(AND(FN12=FS12,FS12&gt;=FT12),FT12,0)+IF(AND(FN13=FS13,FS13&gt;=FT13),FT13,0)+IF(AND(FN14=FS14,FS14,FT14),FT14,0)+IF(AND(FN15=FS15,FS15&gt;=FT15),FT15,0)+IF(AND(FN16=FS16,FS16&gt;=FT16),FT16,0)+IF(AND(FN17=FS17,FS17&gt;=FT17),FT17,0)</f>
        <v>160</v>
      </c>
      <c r="FO10" s="142">
        <f>IF(AND(FO12=FS12,FS12&gt;=FT12),FT12,0)+IF(AND(FO13=FS13,FS13&gt;=FT13),FT13,0)+IF(AND(FO14=FS14,FS14,FT14),FT14,0)+IF(AND(FO15=FS15,FS15&gt;=FT15),FT15,0)+IF(AND(FO16=FS16,FS16&gt;=FT16),FT16,0)+IF(AND(FO17=FS17,FS17&gt;=FT17),FT17,0)</f>
        <v>110</v>
      </c>
      <c r="FP10" s="142">
        <f>IF(AND(FP12=FS12,FS12&gt;=FT12),FT12,0)+IF(AND(FP13=FS13,FS13&gt;=FT13),FT13,0)+IF(AND(FP14=FS14,FS14,FT14),FT14,0)+IF(AND(FP15=FS15,FS15&gt;=FT15),FT15,0)+IF(AND(FP16=FS16,FS16&gt;=FT16),FT16,0)+IF(AND(FP17=FS17,FS17&gt;=FT17),FT17,0)</f>
        <v>0</v>
      </c>
      <c r="FQ10" s="142">
        <f>IF(AND(FQ12=FS12,FS12&gt;=FT12),FT12,0)+IF(AND(FQ13=FS13,FS13&gt;=FT13),FT13,0)+IF(AND(FQ14=FS14,FS14,FT14),FT14,0)+IF(AND(FQ15=FS15,FS15&gt;=FT15),FT15,0)+IF(AND(FQ16=FS16,FS16&gt;=FT16),FT16,0)+IF(AND(FQ17=FS17,FS17&gt;=FT17),FT17,0)</f>
        <v>0</v>
      </c>
      <c r="FR10" s="143">
        <f>IF(AND(FR12=FS12,FS12&gt;=FT12),FT12,0)+IF(AND(FR13=FS13,FS13&gt;=FT13),FT13,0)+IF(AND(FR14=FS14,FS14,FT14),FT14,0)+IF(AND(FR15=FS15,FS15&gt;=FT15),FT15,0)+IF(AND(FR16=FS16,FS16&gt;=FT16),FT16,0)+IF(AND(FR17=FS17,FS17&gt;=FT17),FT17,0)</f>
        <v>0</v>
      </c>
      <c r="FS10" s="485" t="s">
        <v>33</v>
      </c>
      <c r="FT10" s="456" t="s">
        <v>71</v>
      </c>
    </row>
    <row r="11" spans="2:176" ht="14.25" hidden="1" thickBot="1">
      <c r="B11" s="479"/>
      <c r="C11" s="82"/>
      <c r="D11" s="74"/>
      <c r="E11" s="75"/>
      <c r="F11" s="75"/>
      <c r="G11" s="75"/>
      <c r="H11" s="75"/>
      <c r="I11" s="194"/>
      <c r="J11" s="486"/>
      <c r="K11" s="125"/>
      <c r="M11" s="479"/>
      <c r="N11" s="159" t="s">
        <v>81</v>
      </c>
      <c r="O11" s="168">
        <f>IF(ISBLANK(O12),0,U12)+IF(ISBLANK(O13),0,U13)+IF(ISBLANK(O14),0,U14)+IF(ISBLANK(O15),0,U15)+IF(ISBLANK(O16),0,U16)+IF(ISBLANK(O17),0,U17)</f>
        <v>0</v>
      </c>
      <c r="P11" s="31">
        <f>IF(ISBLANK(P12),0,U12)+IF(ISBLANK(P13),0,U13)+IF(ISBLANK(P14),0,U14)+IF(ISBLANK(P15),0,U15)+IF(ISBLANK(P16),0,U16)+IF(ISBLANK(P17),0,U17)</f>
        <v>0</v>
      </c>
      <c r="Q11" s="31">
        <f>IF(ISBLANK(Q12),0,U12)+IF(ISBLANK(Q13),0,U13)+IF(ISBLANK(Q14),0,U14)+IF(ISBLANK(Q15),0,U15)+IF(ISBLANK(Q16),0,U16)+IF(ISBLANK(Q17),0,U17)</f>
        <v>0</v>
      </c>
      <c r="R11" s="31">
        <f>IF(ISBLANK(R12),0,U12)+IF(ISBLANK(R13),0,U13)+IF(ISBLANK(R14),0,U14)+IF(ISBLANK(R15),0,U15)+IF(ISBLANK(R16),0,U16)+IF(ISBLANK(R17),0,U17)</f>
        <v>0</v>
      </c>
      <c r="S11" s="31">
        <f>IF(ISBLANK(S12),0,U12)+IF(ISBLANK(S13),0,U13)+IF(ISBLANK(S14),0,U14)+IF(ISBLANK(S15),0,U15)+IF(ISBLANK(S16),0,U16)+IF(ISBLANK(S17),0,U17)</f>
        <v>0</v>
      </c>
      <c r="T11" s="169">
        <f>IF(ISBLANK(T12),0,U12)+IF(ISBLANK(T13),0,U13)+IF(ISBLANK(T14),0,U14)+IF(ISBLANK(T15),0,U15)+IF(ISBLANK(T16),0,U16)+IF(ISBLANK(T17),0,U17)</f>
        <v>0</v>
      </c>
      <c r="U11" s="455"/>
      <c r="V11" s="457"/>
      <c r="X11" s="479"/>
      <c r="Y11" s="159" t="s">
        <v>81</v>
      </c>
      <c r="Z11" s="168">
        <f>IF(ISBLANK(Z12),0,AF12)+IF(ISBLANK(Z13),0,AF13)+IF(ISBLANK(Z14),0,AF14)+IF(ISBLANK(Z15),0,AF15)+IF(ISBLANK(Z16),0,AF16)+IF(ISBLANK(Z17),0,AF17)</f>
        <v>0</v>
      </c>
      <c r="AA11" s="31">
        <f>IF(ISBLANK(AA12),0,AF12)+IF(ISBLANK(AA13),0,AF13)+IF(ISBLANK(AA14),0,AF14)+IF(ISBLANK(AA15),0,AF15)+IF(ISBLANK(AA16),0,AF16)+IF(ISBLANK(AA17),0,AF17)</f>
        <v>0</v>
      </c>
      <c r="AB11" s="31">
        <f>IF(ISBLANK(AB12),0,AF12)+IF(ISBLANK(AB13),0,AF13)+IF(ISBLANK(AB14),0,AF14)+IF(ISBLANK(AB15),0,AF15)+IF(ISBLANK(AB16),0,AF16)+IF(ISBLANK(AB17),0,AF17)</f>
        <v>0</v>
      </c>
      <c r="AC11" s="31">
        <f>IF(ISBLANK(AC12),0,AF12)+IF(ISBLANK(AC13),0,AF13)+IF(ISBLANK(AC14),0,AF14)+IF(ISBLANK(AC15),0,AF15)+IF(ISBLANK(AC16),0,AF16)+IF(ISBLANK(AC17),0,AF17)</f>
        <v>0</v>
      </c>
      <c r="AD11" s="31">
        <f>IF(ISBLANK(AD12),0,AF12)+IF(ISBLANK(AD13),0,AF13)+IF(ISBLANK(AD14),0,AF14)+IF(ISBLANK(AD15),0,AF15)+IF(ISBLANK(AD16),0,AF16)+IF(ISBLANK(AD17),0,AF17)</f>
        <v>0</v>
      </c>
      <c r="AE11" s="169">
        <f>IF(ISBLANK(AE12),0,AF12)+IF(ISBLANK(AE13),0,AF13)+IF(ISBLANK(AE14),0,AF14)+IF(ISBLANK(AE15),0,AF15)+IF(ISBLANK(AE16),0,AF16)+IF(ISBLANK(AE17),0,AF17)</f>
        <v>0</v>
      </c>
      <c r="AF11" s="455"/>
      <c r="AG11" s="457"/>
      <c r="AI11" s="479"/>
      <c r="AJ11" s="159" t="s">
        <v>81</v>
      </c>
      <c r="AK11" s="168">
        <f>IF(ISBLANK(AK12),0,AQ12)+IF(ISBLANK(AK13),0,AQ13)+IF(ISBLANK(AK14),0,AQ14)+IF(ISBLANK(AK15),0,AQ15)+IF(ISBLANK(AK16),0,AQ16)+IF(ISBLANK(AK17),0,AQ17)</f>
        <v>0</v>
      </c>
      <c r="AL11" s="31">
        <f>IF(ISBLANK(AL12),0,AQ12)+IF(ISBLANK(AL13),0,AQ13)+IF(ISBLANK(AL14),0,AQ14)+IF(ISBLANK(AL15),0,AQ15)+IF(ISBLANK(AL16),0,AQ16)+IF(ISBLANK(AL17),0,AQ17)</f>
        <v>0</v>
      </c>
      <c r="AM11" s="31">
        <f>IF(ISBLANK(AM12),0,AQ12)+IF(ISBLANK(AM13),0,AQ13)+IF(ISBLANK(AM14),0,AQ14)+IF(ISBLANK(AM15),0,AQ15)+IF(ISBLANK(AM16),0,AQ16)+IF(ISBLANK(AM17),0,AQ17)</f>
        <v>0</v>
      </c>
      <c r="AN11" s="31">
        <f>IF(ISBLANK(AN12),0,AQ12)+IF(ISBLANK(AN13),0,AQ13)+IF(ISBLANK(AN14),0,AQ14)+IF(ISBLANK(AN15),0,AQ15)+IF(ISBLANK(AN16),0,AQ16)+IF(ISBLANK(AN17),0,AQ17)</f>
        <v>0</v>
      </c>
      <c r="AO11" s="31">
        <f>IF(ISBLANK(AO12),0,AQ12)+IF(ISBLANK(AO13),0,AQ13)+IF(ISBLANK(AO14),0,AQ14)+IF(ISBLANK(AO15),0,AQ15)+IF(ISBLANK(AO16),0,AQ16)+IF(ISBLANK(AO17),0,AQ17)</f>
        <v>0</v>
      </c>
      <c r="AP11" s="169">
        <f>IF(ISBLANK(AP12),0,AQ12)+IF(ISBLANK(AP13),0,AQ13)+IF(ISBLANK(AP14),0,AQ14)+IF(ISBLANK(AP15),0,AQ15)+IF(ISBLANK(AP16),0,AQ16)+IF(ISBLANK(AP17),0,AQ17)</f>
        <v>0</v>
      </c>
      <c r="AQ11" s="455"/>
      <c r="AR11" s="457"/>
      <c r="AT11" s="479"/>
      <c r="AU11" s="82"/>
      <c r="AV11" s="74"/>
      <c r="AW11" s="75"/>
      <c r="AX11" s="75"/>
      <c r="AY11" s="75"/>
      <c r="AZ11" s="75"/>
      <c r="BA11" s="194"/>
      <c r="BB11" s="486"/>
      <c r="BC11" s="125"/>
      <c r="BE11" s="479"/>
      <c r="BF11" s="159" t="s">
        <v>81</v>
      </c>
      <c r="BG11" s="168">
        <f>IF(ISBLANK(BG12),0,BM12)+IF(ISBLANK(BG13),0,BM13)+IF(ISBLANK(BG14),0,BM14)+IF(ISBLANK(BG15),0,BM15)+IF(ISBLANK(BG16),0,BM16)+IF(ISBLANK(BG17),0,BM17)</f>
        <v>0</v>
      </c>
      <c r="BH11" s="31">
        <f>IF(ISBLANK(BH12),0,BM12)+IF(ISBLANK(BH13),0,BM13)+IF(ISBLANK(BH14),0,BM14)+IF(ISBLANK(BH15),0,BM15)+IF(ISBLANK(BH16),0,BM16)+IF(ISBLANK(BH17),0,BM17)</f>
        <v>0</v>
      </c>
      <c r="BI11" s="31">
        <f>IF(ISBLANK(BI12),0,BM12)+IF(ISBLANK(BI13),0,BM13)+IF(ISBLANK(BI14),0,BM14)+IF(ISBLANK(BI15),0,BM15)+IF(ISBLANK(BI16),0,BM16)+IF(ISBLANK(BI17),0,BM17)</f>
        <v>0</v>
      </c>
      <c r="BJ11" s="31">
        <f>IF(ISBLANK(BJ12),0,BM12)+IF(ISBLANK(BJ13),0,BM13)+IF(ISBLANK(BJ14),0,BM14)+IF(ISBLANK(BJ15),0,BM15)+IF(ISBLANK(BJ16),0,BM16)+IF(ISBLANK(BJ17),0,BM17)</f>
        <v>0</v>
      </c>
      <c r="BK11" s="31">
        <f>IF(ISBLANK(BK12),0,BM12)+IF(ISBLANK(BK13),0,BM13)+IF(ISBLANK(BK14),0,BM14)+IF(ISBLANK(BK15),0,BM15)+IF(ISBLANK(BK16),0,BM16)+IF(ISBLANK(BK17),0,BM17)</f>
        <v>0</v>
      </c>
      <c r="BL11" s="169">
        <f>IF(ISBLANK(BL12),0,BM12)+IF(ISBLANK(BL13),0,BM13)+IF(ISBLANK(BL14),0,BM14)+IF(ISBLANK(BL15),0,BM15)+IF(ISBLANK(BL16),0,BM16)+IF(ISBLANK(BL17),0,BM17)</f>
        <v>0</v>
      </c>
      <c r="BM11" s="455"/>
      <c r="BN11" s="457"/>
      <c r="BP11" s="479"/>
      <c r="BQ11" s="159" t="s">
        <v>81</v>
      </c>
      <c r="BR11" s="168">
        <f>IF(ISBLANK(BR12),0,BX12)+IF(ISBLANK(BR13),0,BX13)+IF(ISBLANK(BR14),0,BX14)+IF(ISBLANK(BR15),0,BX15)+IF(ISBLANK(BR16),0,BX16)+IF(ISBLANK(BR17),0,BX17)</f>
        <v>40</v>
      </c>
      <c r="BS11" s="31">
        <f>IF(ISBLANK(BS12),0,BX12)+IF(ISBLANK(BS13),0,BX13)+IF(ISBLANK(BS14),0,BX14)+IF(ISBLANK(BS15),0,BX15)+IF(ISBLANK(BS16),0,BX16)+IF(ISBLANK(BS17),0,BX17)</f>
        <v>0</v>
      </c>
      <c r="BT11" s="31">
        <f>IF(ISBLANK(BT12),0,BX12)+IF(ISBLANK(BT13),0,BX13)+IF(ISBLANK(BT14),0,BX14)+IF(ISBLANK(BT15),0,BX15)+IF(ISBLANK(BT16),0,BX16)+IF(ISBLANK(BT17),0,BX17)</f>
        <v>0</v>
      </c>
      <c r="BU11" s="31">
        <f>IF(ISBLANK(BU12),0,BX12)+IF(ISBLANK(BU13),0,BX13)+IF(ISBLANK(BU14),0,BX14)+IF(ISBLANK(BU15),0,BX15)+IF(ISBLANK(BU16),0,BX16)+IF(ISBLANK(BU17),0,BX17)</f>
        <v>0</v>
      </c>
      <c r="BV11" s="31">
        <f>IF(ISBLANK(BV12),0,BX12)+IF(ISBLANK(BV13),0,BX13)+IF(ISBLANK(BV14),0,BX14)+IF(ISBLANK(BV15),0,BX15)+IF(ISBLANK(BV16),0,BX16)+IF(ISBLANK(BV17),0,BX17)</f>
        <v>0</v>
      </c>
      <c r="BW11" s="169">
        <f>IF(ISBLANK(BW12),0,BX12)+IF(ISBLANK(BW13),0,BX13)+IF(ISBLANK(BW14),0,BX14)+IF(ISBLANK(BW15),0,BX15)+IF(ISBLANK(BW16),0,BX16)+IF(ISBLANK(BW17),0,BX17)</f>
        <v>0</v>
      </c>
      <c r="BX11" s="455"/>
      <c r="BY11" s="457"/>
      <c r="CA11" s="479"/>
      <c r="CB11" s="82"/>
      <c r="CC11" s="74"/>
      <c r="CD11" s="75"/>
      <c r="CE11" s="75"/>
      <c r="CF11" s="75"/>
      <c r="CG11" s="75"/>
      <c r="CH11" s="194"/>
      <c r="CI11" s="486"/>
      <c r="CJ11" s="125"/>
      <c r="CL11" s="479"/>
      <c r="CM11" s="159" t="s">
        <v>81</v>
      </c>
      <c r="CN11" s="168">
        <f>IF(ISBLANK(CN12),0,CT12)+IF(ISBLANK(CN13),0,CT13)+IF(ISBLANK(CN14),0,CT14)+IF(ISBLANK(CN15),0,CT15)+IF(ISBLANK(CN16),0,CT16)+IF(ISBLANK(CN17),0,CT17)</f>
        <v>65</v>
      </c>
      <c r="CO11" s="31">
        <f>IF(ISBLANK(CO12),0,CT12)+IF(ISBLANK(CO13),0,CT13)+IF(ISBLANK(CO14),0,CT14)+IF(ISBLANK(CO15),0,CT15)+IF(ISBLANK(CO16),0,CT16)+IF(ISBLANK(CO17),0,CT17)</f>
        <v>25</v>
      </c>
      <c r="CP11" s="31">
        <f>IF(ISBLANK(CP12),0,CT12)+IF(ISBLANK(CP13),0,CT13)+IF(ISBLANK(CP14),0,CT14)+IF(ISBLANK(CP15),0,CT15)+IF(ISBLANK(CP16),0,CT16)+IF(ISBLANK(CP17),0,CT17)</f>
        <v>25</v>
      </c>
      <c r="CQ11" s="31">
        <f>IF(ISBLANK(CQ12),0,CT12)+IF(ISBLANK(CQ13),0,CT13)+IF(ISBLANK(CQ14),0,CT14)+IF(ISBLANK(CQ15),0,CT15)+IF(ISBLANK(CQ16),0,CT16)+IF(ISBLANK(CQ17),0,CT17)</f>
        <v>0</v>
      </c>
      <c r="CR11" s="31">
        <f>IF(ISBLANK(CR12),0,CT12)+IF(ISBLANK(CR13),0,CT13)+IF(ISBLANK(CR14),0,CT14)+IF(ISBLANK(CR15),0,CT15)+IF(ISBLANK(CR16),0,CT16)+IF(ISBLANK(CR17),0,CT17)</f>
        <v>0</v>
      </c>
      <c r="CS11" s="169">
        <f>IF(ISBLANK(CS12),0,CT12)+IF(ISBLANK(CS13),0,CT13)+IF(ISBLANK(CS14),0,CT14)+IF(ISBLANK(CS15),0,CT15)+IF(ISBLANK(CS16),0,CT16)+IF(ISBLANK(CS17),0,CT17)</f>
        <v>0</v>
      </c>
      <c r="CT11" s="455"/>
      <c r="CU11" s="457"/>
      <c r="CW11" s="479"/>
      <c r="CX11" s="82"/>
      <c r="CY11" s="74"/>
      <c r="CZ11" s="75"/>
      <c r="DA11" s="75"/>
      <c r="DB11" s="75"/>
      <c r="DC11" s="75"/>
      <c r="DD11" s="194"/>
      <c r="DE11" s="486"/>
      <c r="DF11" s="125"/>
      <c r="DH11" s="479"/>
      <c r="DI11" s="159" t="s">
        <v>81</v>
      </c>
      <c r="DJ11" s="168">
        <f>IF(ISBLANK(DJ12),0,DP12)+IF(ISBLANK(DJ13),0,DP13)+IF(ISBLANK(DJ14),0,DP14)+IF(ISBLANK(DJ15),0,DP15)+IF(ISBLANK(DJ16),0,DP16)+IF(ISBLANK(DJ17),0,DP17)</f>
        <v>65</v>
      </c>
      <c r="DK11" s="31">
        <f>IF(ISBLANK(DK12),0,DP12)+IF(ISBLANK(DK13),0,DP13)+IF(ISBLANK(DK14),0,DP14)+IF(ISBLANK(DK15),0,DP15)+IF(ISBLANK(DK16),0,DP16)+IF(ISBLANK(DK17),0,DP17)</f>
        <v>25</v>
      </c>
      <c r="DL11" s="31">
        <f>IF(ISBLANK(DL12),0,DP12)+IF(ISBLANK(DL13),0,DP13)+IF(ISBLANK(DL14),0,DP14)+IF(ISBLANK(DL15),0,DP15)+IF(ISBLANK(DL16),0,DP16)+IF(ISBLANK(DL17),0,DP17)</f>
        <v>25</v>
      </c>
      <c r="DM11" s="31">
        <f>IF(ISBLANK(DM12),0,DP12)+IF(ISBLANK(DM13),0,DP13)+IF(ISBLANK(DM14),0,DP14)+IF(ISBLANK(DM15),0,DP15)+IF(ISBLANK(DM16),0,DP16)+IF(ISBLANK(DM17),0,DP17)</f>
        <v>0</v>
      </c>
      <c r="DN11" s="31">
        <f>IF(ISBLANK(DN12),0,DP12)+IF(ISBLANK(DN13),0,DP13)+IF(ISBLANK(DN14),0,DP14)+IF(ISBLANK(DN15),0,DP15)+IF(ISBLANK(DN16),0,DP16)+IF(ISBLANK(DN17),0,DP17)</f>
        <v>0</v>
      </c>
      <c r="DO11" s="169">
        <f>IF(ISBLANK(DO12),0,DP12)+IF(ISBLANK(DO13),0,DP13)+IF(ISBLANK(DO14),0,DP14)+IF(ISBLANK(DO15),0,DP15)+IF(ISBLANK(DO16),0,DP16)+IF(ISBLANK(DO17),0,DP17)</f>
        <v>0</v>
      </c>
      <c r="DP11" s="521"/>
      <c r="DQ11" s="492"/>
      <c r="DS11" s="479"/>
      <c r="DT11" s="82"/>
      <c r="DU11" s="74"/>
      <c r="DV11" s="75"/>
      <c r="DW11" s="75"/>
      <c r="DX11" s="75"/>
      <c r="DY11" s="75"/>
      <c r="DZ11" s="194"/>
      <c r="EA11" s="492"/>
      <c r="EB11" s="125"/>
      <c r="ED11" s="479"/>
      <c r="EE11" s="159" t="s">
        <v>81</v>
      </c>
      <c r="EF11" s="168">
        <f>IF(ISBLANK(EF12),0,EL12)+IF(ISBLANK(EF13),0,EL13)+IF(ISBLANK(EF14),0,EL14)+IF(ISBLANK(EF15),0,EL15)+IF(ISBLANK(EF16),0,EL16)+IF(ISBLANK(EF17),0,EL17)</f>
        <v>65</v>
      </c>
      <c r="EG11" s="31">
        <f>IF(ISBLANK(EG12),0,EL12)+IF(ISBLANK(EG13),0,EL13)+IF(ISBLANK(EG14),0,EL14)+IF(ISBLANK(EG15),0,EL15)+IF(ISBLANK(EG16),0,EL16)+IF(ISBLANK(EG17),0,EL17)</f>
        <v>25</v>
      </c>
      <c r="EH11" s="31">
        <f>IF(ISBLANK(EH12),0,EL12)+IF(ISBLANK(EH13),0,EL13)+IF(ISBLANK(EH14),0,EL14)+IF(ISBLANK(EH15),0,EL15)+IF(ISBLANK(EH16),0,EL16)+IF(ISBLANK(EH17),0,EL17)</f>
        <v>25</v>
      </c>
      <c r="EI11" s="31">
        <f>IF(ISBLANK(EI12),0,EL12)+IF(ISBLANK(EI13),0,EL13)+IF(ISBLANK(EI14),0,EL14)+IF(ISBLANK(EI15),0,EL15)+IF(ISBLANK(EI16),0,EL16)+IF(ISBLANK(EI17),0,EL17)</f>
        <v>0</v>
      </c>
      <c r="EJ11" s="31">
        <f>IF(ISBLANK(EJ12),0,EL12)+IF(ISBLANK(EJ13),0,EL13)+IF(ISBLANK(EJ14),0,EL14)+IF(ISBLANK(EJ15),0,EL15)+IF(ISBLANK(EJ16),0,EL16)+IF(ISBLANK(EJ17),0,EL17)</f>
        <v>0</v>
      </c>
      <c r="EK11" s="169">
        <f>IF(ISBLANK(EK12),0,EL12)+IF(ISBLANK(EK13),0,EL13)+IF(ISBLANK(EK14),0,EL14)+IF(ISBLANK(EK15),0,EL15)+IF(ISBLANK(EK16),0,EL16)+IF(ISBLANK(EK17),0,EL17)</f>
        <v>0</v>
      </c>
      <c r="EL11" s="521"/>
      <c r="EM11" s="492"/>
      <c r="EO11" s="479"/>
      <c r="EP11" s="82"/>
      <c r="EQ11" s="74"/>
      <c r="ER11" s="75"/>
      <c r="ES11" s="75"/>
      <c r="ET11" s="75"/>
      <c r="EU11" s="75"/>
      <c r="EV11" s="194"/>
      <c r="EW11" s="492"/>
      <c r="EX11" s="125"/>
      <c r="EZ11" s="479"/>
      <c r="FA11" s="159" t="s">
        <v>81</v>
      </c>
      <c r="FB11" s="168">
        <f>IF(ISBLANK(FB12),0,FH12)+IF(ISBLANK(FB13),0,FH13)+IF(ISBLANK(FB14),0,FH14)+IF(ISBLANK(FB15),0,FH15)+IF(ISBLANK(FB16),0,FH16)+IF(ISBLANK(FB17),0,FH17)</f>
        <v>65</v>
      </c>
      <c r="FC11" s="31">
        <f>IF(ISBLANK(FC12),0,FH12)+IF(ISBLANK(FC13),0,FH13)+IF(ISBLANK(FC14),0,FH14)+IF(ISBLANK(FC15),0,FH15)+IF(ISBLANK(FC16),0,FH16)+IF(ISBLANK(FC17),0,FH17)</f>
        <v>25</v>
      </c>
      <c r="FD11" s="31">
        <f>IF(ISBLANK(FD12),0,FH12)+IF(ISBLANK(FD13),0,FH13)+IF(ISBLANK(FD14),0,FH14)+IF(ISBLANK(FD15),0,FH15)+IF(ISBLANK(FD16),0,FH16)+IF(ISBLANK(FD17),0,FH17)</f>
        <v>25</v>
      </c>
      <c r="FE11" s="31">
        <f>IF(ISBLANK(FE12),0,FH12)+IF(ISBLANK(FE13),0,FH13)+IF(ISBLANK(FE14),0,FH14)+IF(ISBLANK(FE15),0,FH15)+IF(ISBLANK(FE16),0,FH16)+IF(ISBLANK(FE17),0,FH17)</f>
        <v>0</v>
      </c>
      <c r="FF11" s="31">
        <f>IF(ISBLANK(FF12),0,FH12)+IF(ISBLANK(FF13),0,FH13)+IF(ISBLANK(FF14),0,FH14)+IF(ISBLANK(FF15),0,FH15)+IF(ISBLANK(FF16),0,FH16)+IF(ISBLANK(FF17),0,FH17)</f>
        <v>0</v>
      </c>
      <c r="FG11" s="169">
        <f>IF(ISBLANK(FG12),0,FH12)+IF(ISBLANK(FG13),0,FH13)+IF(ISBLANK(FG14),0,FH14)+IF(ISBLANK(FG15),0,FH15)+IF(ISBLANK(FG16),0,FH16)+IF(ISBLANK(FG17),0,FH17)</f>
        <v>0</v>
      </c>
      <c r="FH11" s="521"/>
      <c r="FI11" s="492"/>
      <c r="FK11" s="510"/>
      <c r="FL11" s="138" t="s">
        <v>72</v>
      </c>
      <c r="FM11" s="144">
        <f aca="true" t="shared" si="68" ref="FM11:FR11">SUM(FM12:FM17)</f>
        <v>370</v>
      </c>
      <c r="FN11" s="139">
        <f>SUM(FN12:FN17)</f>
        <v>165</v>
      </c>
      <c r="FO11" s="139">
        <f t="shared" si="68"/>
        <v>110</v>
      </c>
      <c r="FP11" s="139">
        <f t="shared" si="68"/>
        <v>0</v>
      </c>
      <c r="FQ11" s="139">
        <f t="shared" si="68"/>
        <v>0</v>
      </c>
      <c r="FR11" s="140">
        <f t="shared" si="68"/>
        <v>0</v>
      </c>
      <c r="FS11" s="545"/>
      <c r="FT11" s="492"/>
    </row>
    <row r="12" spans="2:176" ht="14.25" hidden="1" thickBot="1">
      <c r="B12" s="479"/>
      <c r="C12" s="223" t="s">
        <v>56</v>
      </c>
      <c r="D12" s="195">
        <f aca="true" t="shared" si="69" ref="D12:D17">IF(O12="○",O12,"")</f>
      </c>
      <c r="E12" s="195">
        <f aca="true" t="shared" si="70" ref="E12:E17">IF(P12="○",P12,"")</f>
      </c>
      <c r="F12" s="195">
        <f aca="true" t="shared" si="71" ref="F12:F17">IF(Q12="○",Q12,"")</f>
      </c>
      <c r="G12" s="195">
        <f aca="true" t="shared" si="72" ref="G12:G17">IF(R12="○",R12,"")</f>
      </c>
      <c r="H12" s="195">
        <f aca="true" t="shared" si="73" ref="H12:H17">IF(S12="○",S12,"")</f>
      </c>
      <c r="I12" s="196">
        <f aca="true" t="shared" si="74" ref="I12:I17">IF(T12="○",T12,"")</f>
      </c>
      <c r="J12" s="27">
        <v>20</v>
      </c>
      <c r="K12" s="157"/>
      <c r="M12" s="479"/>
      <c r="N12" s="163" t="s">
        <v>56</v>
      </c>
      <c r="O12" s="170"/>
      <c r="P12" s="112"/>
      <c r="Q12" s="112"/>
      <c r="R12" s="112"/>
      <c r="S12" s="112"/>
      <c r="T12" s="113"/>
      <c r="U12" s="28">
        <v>5</v>
      </c>
      <c r="V12" s="27">
        <v>20</v>
      </c>
      <c r="X12" s="479"/>
      <c r="Y12" s="163" t="s">
        <v>56</v>
      </c>
      <c r="Z12" s="170"/>
      <c r="AA12" s="112"/>
      <c r="AB12" s="112"/>
      <c r="AC12" s="112"/>
      <c r="AD12" s="112"/>
      <c r="AE12" s="113"/>
      <c r="AF12" s="28">
        <v>5</v>
      </c>
      <c r="AG12" s="27">
        <v>20</v>
      </c>
      <c r="AI12" s="479"/>
      <c r="AJ12" s="163" t="s">
        <v>56</v>
      </c>
      <c r="AK12" s="170"/>
      <c r="AL12" s="112"/>
      <c r="AM12" s="112"/>
      <c r="AN12" s="112"/>
      <c r="AO12" s="112"/>
      <c r="AP12" s="113"/>
      <c r="AQ12" s="28">
        <v>5</v>
      </c>
      <c r="AR12" s="27">
        <v>20</v>
      </c>
      <c r="AT12" s="479"/>
      <c r="AU12" s="223" t="s">
        <v>56</v>
      </c>
      <c r="AV12" s="195">
        <f aca="true" t="shared" si="75" ref="AV12:AV17">IF(BG12="○",BG12,"")</f>
      </c>
      <c r="AW12" s="195">
        <f aca="true" t="shared" si="76" ref="AW12:AW17">IF(BH12="○",BH12,"")</f>
      </c>
      <c r="AX12" s="195">
        <f aca="true" t="shared" si="77" ref="AX12:AX17">IF(BI12="○",BI12,"")</f>
      </c>
      <c r="AY12" s="195">
        <f aca="true" t="shared" si="78" ref="AY12:AY17">IF(BJ12="○",BJ12,"")</f>
      </c>
      <c r="AZ12" s="195">
        <f aca="true" t="shared" si="79" ref="AZ12:AZ17">IF(BK12="○",BK12,"")</f>
      </c>
      <c r="BA12" s="196">
        <f aca="true" t="shared" si="80" ref="BA12:BA17">IF(BL12="○",BL12,"")</f>
      </c>
      <c r="BB12" s="27">
        <v>20</v>
      </c>
      <c r="BC12" s="157"/>
      <c r="BE12" s="479"/>
      <c r="BF12" s="163" t="s">
        <v>56</v>
      </c>
      <c r="BG12" s="170"/>
      <c r="BH12" s="112"/>
      <c r="BI12" s="112"/>
      <c r="BJ12" s="112"/>
      <c r="BK12" s="112"/>
      <c r="BL12" s="113"/>
      <c r="BM12" s="28">
        <v>5</v>
      </c>
      <c r="BN12" s="27">
        <v>20</v>
      </c>
      <c r="BP12" s="479"/>
      <c r="BQ12" s="163" t="s">
        <v>56</v>
      </c>
      <c r="BR12" s="170"/>
      <c r="BS12" s="112"/>
      <c r="BT12" s="112"/>
      <c r="BU12" s="112"/>
      <c r="BV12" s="112"/>
      <c r="BW12" s="113"/>
      <c r="BX12" s="28">
        <v>5</v>
      </c>
      <c r="BY12" s="27">
        <v>20</v>
      </c>
      <c r="CA12" s="479"/>
      <c r="CB12" s="223" t="s">
        <v>56</v>
      </c>
      <c r="CC12" s="195">
        <f aca="true" t="shared" si="81" ref="CC12:CC17">IF(CN12="○",CN12,"")</f>
      </c>
      <c r="CD12" s="195">
        <f aca="true" t="shared" si="82" ref="CD12:CD17">IF(CO12="○",CO12,"")</f>
      </c>
      <c r="CE12" s="195">
        <f aca="true" t="shared" si="83" ref="CE12:CE17">IF(CP12="○",CP12,"")</f>
      </c>
      <c r="CF12" s="195">
        <f aca="true" t="shared" si="84" ref="CF12:CF17">IF(CQ12="○",CQ12,"")</f>
      </c>
      <c r="CG12" s="195">
        <f aca="true" t="shared" si="85" ref="CG12:CG17">IF(CR12="○",CR12,"")</f>
      </c>
      <c r="CH12" s="196">
        <f aca="true" t="shared" si="86" ref="CH12:CH17">IF(CS12="○",CS12,"")</f>
      </c>
      <c r="CI12" s="27">
        <v>20</v>
      </c>
      <c r="CJ12" s="157"/>
      <c r="CL12" s="479"/>
      <c r="CM12" s="163" t="s">
        <v>56</v>
      </c>
      <c r="CN12" s="170" t="s">
        <v>204</v>
      </c>
      <c r="CO12" s="112"/>
      <c r="CP12" s="112"/>
      <c r="CQ12" s="112"/>
      <c r="CR12" s="112"/>
      <c r="CS12" s="113"/>
      <c r="CT12" s="28">
        <v>5</v>
      </c>
      <c r="CU12" s="27">
        <v>20</v>
      </c>
      <c r="CW12" s="479"/>
      <c r="CX12" s="223" t="s">
        <v>56</v>
      </c>
      <c r="CY12" s="195" t="str">
        <f aca="true" t="shared" si="87" ref="CY12:CY17">IF(DJ12="○",DJ12,"")</f>
        <v>○</v>
      </c>
      <c r="CZ12" s="195">
        <f aca="true" t="shared" si="88" ref="CZ12:CZ17">IF(DK12="○",DK12,"")</f>
      </c>
      <c r="DA12" s="195">
        <f aca="true" t="shared" si="89" ref="DA12:DA17">IF(DL12="○",DL12,"")</f>
      </c>
      <c r="DB12" s="195">
        <f aca="true" t="shared" si="90" ref="DB12:DB17">IF(DM12="○",DM12,"")</f>
      </c>
      <c r="DC12" s="195">
        <f aca="true" t="shared" si="91" ref="DC12:DC17">IF(DN12="○",DN12,"")</f>
      </c>
      <c r="DD12" s="196">
        <f aca="true" t="shared" si="92" ref="DD12:DD17">IF(DO12="○",DO12,"")</f>
      </c>
      <c r="DE12" s="27">
        <v>20</v>
      </c>
      <c r="DF12" s="157"/>
      <c r="DH12" s="479"/>
      <c r="DI12" s="163" t="s">
        <v>56</v>
      </c>
      <c r="DJ12" s="170" t="s">
        <v>77</v>
      </c>
      <c r="DK12" s="112"/>
      <c r="DL12" s="112"/>
      <c r="DM12" s="112"/>
      <c r="DN12" s="112"/>
      <c r="DO12" s="113"/>
      <c r="DP12" s="28">
        <v>5</v>
      </c>
      <c r="DQ12" s="27">
        <v>20</v>
      </c>
      <c r="DS12" s="479"/>
      <c r="DT12" s="223" t="s">
        <v>56</v>
      </c>
      <c r="DU12" s="195" t="str">
        <f aca="true" t="shared" si="93" ref="DU12:DU17">IF(EF12="○",EF12,"")</f>
        <v>○</v>
      </c>
      <c r="DV12" s="195">
        <f aca="true" t="shared" si="94" ref="DV12:DV17">IF(EG12="○",EG12,"")</f>
      </c>
      <c r="DW12" s="195">
        <f aca="true" t="shared" si="95" ref="DW12:DW17">IF(EH12="○",EH12,"")</f>
      </c>
      <c r="DX12" s="195">
        <f aca="true" t="shared" si="96" ref="DX12:DX17">IF(EI12="○",EI12,"")</f>
      </c>
      <c r="DY12" s="195">
        <f aca="true" t="shared" si="97" ref="DY12:DY17">IF(EJ12="○",EJ12,"")</f>
      </c>
      <c r="DZ12" s="196">
        <f aca="true" t="shared" si="98" ref="DZ12:DZ17">IF(EK12="○",EK12,"")</f>
      </c>
      <c r="EA12" s="27">
        <v>20</v>
      </c>
      <c r="EB12" s="157"/>
      <c r="ED12" s="479"/>
      <c r="EE12" s="163" t="s">
        <v>56</v>
      </c>
      <c r="EF12" s="170" t="s">
        <v>77</v>
      </c>
      <c r="EG12" s="112"/>
      <c r="EH12" s="112"/>
      <c r="EI12" s="112"/>
      <c r="EJ12" s="112"/>
      <c r="EK12" s="113"/>
      <c r="EL12" s="28">
        <v>5</v>
      </c>
      <c r="EM12" s="27">
        <v>20</v>
      </c>
      <c r="EO12" s="479"/>
      <c r="EP12" s="223" t="s">
        <v>56</v>
      </c>
      <c r="EQ12" s="195" t="str">
        <f aca="true" t="shared" si="99" ref="EQ12:ET17">IF(FB12="○",FB12,"")</f>
        <v>○</v>
      </c>
      <c r="ER12" s="195">
        <f t="shared" si="99"/>
      </c>
      <c r="ES12" s="195">
        <f t="shared" si="99"/>
      </c>
      <c r="ET12" s="195">
        <f t="shared" si="99"/>
      </c>
      <c r="EU12" s="195">
        <f aca="true" t="shared" si="100" ref="EU12:EU17">IF(FF12="○",FF12,"")</f>
      </c>
      <c r="EV12" s="196">
        <f aca="true" t="shared" si="101" ref="EV12:EV17">IF(FG12="○",FG12,"")</f>
      </c>
      <c r="EW12" s="27">
        <v>20</v>
      </c>
      <c r="EX12" s="157"/>
      <c r="EZ12" s="479"/>
      <c r="FA12" s="163" t="s">
        <v>56</v>
      </c>
      <c r="FB12" s="170" t="s">
        <v>77</v>
      </c>
      <c r="FC12" s="112"/>
      <c r="FD12" s="112"/>
      <c r="FE12" s="112"/>
      <c r="FF12" s="112"/>
      <c r="FG12" s="113"/>
      <c r="FH12" s="28">
        <v>5</v>
      </c>
      <c r="FI12" s="27">
        <v>20</v>
      </c>
      <c r="FK12" s="510"/>
      <c r="FL12" s="42" t="s">
        <v>56</v>
      </c>
      <c r="FM12" s="97">
        <v>20</v>
      </c>
      <c r="FN12" s="89"/>
      <c r="FO12" s="89"/>
      <c r="FP12" s="89"/>
      <c r="FQ12" s="89"/>
      <c r="FR12" s="90"/>
      <c r="FS12" s="150">
        <f aca="true" t="shared" si="102" ref="FS12:FS17">MAX(FM12:FR12)</f>
        <v>20</v>
      </c>
      <c r="FT12" s="27">
        <v>20</v>
      </c>
    </row>
    <row r="13" spans="2:176" ht="14.25" hidden="1" thickBot="1">
      <c r="B13" s="479"/>
      <c r="C13" s="221" t="s">
        <v>57</v>
      </c>
      <c r="D13" s="197">
        <f t="shared" si="69"/>
      </c>
      <c r="E13" s="197">
        <f t="shared" si="70"/>
      </c>
      <c r="F13" s="197">
        <f t="shared" si="71"/>
      </c>
      <c r="G13" s="197">
        <f t="shared" si="72"/>
      </c>
      <c r="H13" s="197">
        <f t="shared" si="73"/>
      </c>
      <c r="I13" s="198">
        <f t="shared" si="74"/>
      </c>
      <c r="J13" s="18">
        <v>40</v>
      </c>
      <c r="K13" s="157"/>
      <c r="M13" s="479"/>
      <c r="N13" s="160" t="s">
        <v>57</v>
      </c>
      <c r="O13" s="171"/>
      <c r="P13" s="100"/>
      <c r="Q13" s="100"/>
      <c r="R13" s="100"/>
      <c r="S13" s="100"/>
      <c r="T13" s="101"/>
      <c r="U13" s="26">
        <v>10</v>
      </c>
      <c r="V13" s="18">
        <v>40</v>
      </c>
      <c r="X13" s="479"/>
      <c r="Y13" s="160" t="s">
        <v>57</v>
      </c>
      <c r="Z13" s="171"/>
      <c r="AA13" s="100"/>
      <c r="AB13" s="100"/>
      <c r="AC13" s="100"/>
      <c r="AD13" s="100"/>
      <c r="AE13" s="101"/>
      <c r="AF13" s="26">
        <v>10</v>
      </c>
      <c r="AG13" s="18">
        <v>40</v>
      </c>
      <c r="AI13" s="479"/>
      <c r="AJ13" s="160" t="s">
        <v>57</v>
      </c>
      <c r="AK13" s="171"/>
      <c r="AL13" s="100"/>
      <c r="AM13" s="100"/>
      <c r="AN13" s="100"/>
      <c r="AO13" s="100"/>
      <c r="AP13" s="101"/>
      <c r="AQ13" s="26">
        <v>10</v>
      </c>
      <c r="AR13" s="18">
        <v>40</v>
      </c>
      <c r="AT13" s="479"/>
      <c r="AU13" s="221" t="s">
        <v>57</v>
      </c>
      <c r="AV13" s="197">
        <f t="shared" si="75"/>
      </c>
      <c r="AW13" s="197">
        <f t="shared" si="76"/>
      </c>
      <c r="AX13" s="197">
        <f t="shared" si="77"/>
      </c>
      <c r="AY13" s="197">
        <f t="shared" si="78"/>
      </c>
      <c r="AZ13" s="197">
        <f t="shared" si="79"/>
      </c>
      <c r="BA13" s="198">
        <f t="shared" si="80"/>
      </c>
      <c r="BB13" s="18">
        <v>40</v>
      </c>
      <c r="BC13" s="157"/>
      <c r="BE13" s="479"/>
      <c r="BF13" s="160" t="s">
        <v>57</v>
      </c>
      <c r="BG13" s="171"/>
      <c r="BH13" s="100"/>
      <c r="BI13" s="100"/>
      <c r="BJ13" s="100"/>
      <c r="BK13" s="100"/>
      <c r="BL13" s="101"/>
      <c r="BM13" s="26">
        <v>10</v>
      </c>
      <c r="BN13" s="18">
        <v>40</v>
      </c>
      <c r="BP13" s="479"/>
      <c r="BQ13" s="160" t="s">
        <v>57</v>
      </c>
      <c r="BR13" s="171"/>
      <c r="BS13" s="100"/>
      <c r="BT13" s="100"/>
      <c r="BU13" s="100"/>
      <c r="BV13" s="100"/>
      <c r="BW13" s="101"/>
      <c r="BX13" s="26">
        <v>10</v>
      </c>
      <c r="BY13" s="18">
        <v>40</v>
      </c>
      <c r="CA13" s="479"/>
      <c r="CB13" s="221" t="s">
        <v>57</v>
      </c>
      <c r="CC13" s="197">
        <f t="shared" si="81"/>
      </c>
      <c r="CD13" s="197">
        <f t="shared" si="82"/>
      </c>
      <c r="CE13" s="197">
        <f t="shared" si="83"/>
      </c>
      <c r="CF13" s="197">
        <f t="shared" si="84"/>
      </c>
      <c r="CG13" s="197">
        <f t="shared" si="85"/>
      </c>
      <c r="CH13" s="198">
        <f t="shared" si="86"/>
      </c>
      <c r="CI13" s="18">
        <v>40</v>
      </c>
      <c r="CJ13" s="157"/>
      <c r="CL13" s="479"/>
      <c r="CM13" s="160" t="s">
        <v>57</v>
      </c>
      <c r="CN13" s="171"/>
      <c r="CO13" s="100"/>
      <c r="CP13" s="100" t="s">
        <v>204</v>
      </c>
      <c r="CQ13" s="100"/>
      <c r="CR13" s="100"/>
      <c r="CS13" s="101"/>
      <c r="CT13" s="26">
        <v>10</v>
      </c>
      <c r="CU13" s="18">
        <v>40</v>
      </c>
      <c r="CW13" s="479"/>
      <c r="CX13" s="221" t="s">
        <v>57</v>
      </c>
      <c r="CY13" s="197">
        <f t="shared" si="87"/>
      </c>
      <c r="CZ13" s="197">
        <f t="shared" si="88"/>
      </c>
      <c r="DA13" s="197" t="str">
        <f t="shared" si="89"/>
        <v>○</v>
      </c>
      <c r="DB13" s="197">
        <f t="shared" si="90"/>
      </c>
      <c r="DC13" s="197">
        <f t="shared" si="91"/>
      </c>
      <c r="DD13" s="198">
        <f t="shared" si="92"/>
      </c>
      <c r="DE13" s="18">
        <v>40</v>
      </c>
      <c r="DF13" s="157"/>
      <c r="DH13" s="479"/>
      <c r="DI13" s="160" t="s">
        <v>57</v>
      </c>
      <c r="DJ13" s="171"/>
      <c r="DK13" s="100"/>
      <c r="DL13" s="100" t="s">
        <v>78</v>
      </c>
      <c r="DM13" s="100"/>
      <c r="DN13" s="100"/>
      <c r="DO13" s="101"/>
      <c r="DP13" s="26">
        <v>10</v>
      </c>
      <c r="DQ13" s="18">
        <v>40</v>
      </c>
      <c r="DS13" s="479"/>
      <c r="DT13" s="221" t="s">
        <v>57</v>
      </c>
      <c r="DU13" s="197">
        <f t="shared" si="93"/>
      </c>
      <c r="DV13" s="197">
        <f t="shared" si="94"/>
      </c>
      <c r="DW13" s="197" t="str">
        <f t="shared" si="95"/>
        <v>○</v>
      </c>
      <c r="DX13" s="197">
        <f t="shared" si="96"/>
      </c>
      <c r="DY13" s="197">
        <f t="shared" si="97"/>
      </c>
      <c r="DZ13" s="198">
        <f t="shared" si="98"/>
      </c>
      <c r="EA13" s="18">
        <v>40</v>
      </c>
      <c r="EB13" s="157"/>
      <c r="ED13" s="479"/>
      <c r="EE13" s="160" t="s">
        <v>57</v>
      </c>
      <c r="EF13" s="171"/>
      <c r="EG13" s="100"/>
      <c r="EH13" s="100" t="s">
        <v>78</v>
      </c>
      <c r="EI13" s="100"/>
      <c r="EJ13" s="100"/>
      <c r="EK13" s="101"/>
      <c r="EL13" s="26">
        <v>10</v>
      </c>
      <c r="EM13" s="18">
        <v>40</v>
      </c>
      <c r="EO13" s="479"/>
      <c r="EP13" s="221" t="s">
        <v>57</v>
      </c>
      <c r="EQ13" s="197">
        <f t="shared" si="99"/>
      </c>
      <c r="ER13" s="197">
        <f t="shared" si="99"/>
      </c>
      <c r="ES13" s="197" t="str">
        <f t="shared" si="99"/>
        <v>○</v>
      </c>
      <c r="ET13" s="197">
        <f t="shared" si="99"/>
      </c>
      <c r="EU13" s="197">
        <f t="shared" si="100"/>
      </c>
      <c r="EV13" s="198">
        <f t="shared" si="101"/>
      </c>
      <c r="EW13" s="18">
        <v>40</v>
      </c>
      <c r="EX13" s="157"/>
      <c r="EZ13" s="479"/>
      <c r="FA13" s="160" t="s">
        <v>57</v>
      </c>
      <c r="FB13" s="171"/>
      <c r="FC13" s="100"/>
      <c r="FD13" s="100" t="s">
        <v>78</v>
      </c>
      <c r="FE13" s="100"/>
      <c r="FF13" s="100"/>
      <c r="FG13" s="101"/>
      <c r="FH13" s="26">
        <v>10</v>
      </c>
      <c r="FI13" s="18">
        <v>40</v>
      </c>
      <c r="FK13" s="510"/>
      <c r="FL13" s="43" t="s">
        <v>57</v>
      </c>
      <c r="FM13" s="98"/>
      <c r="FN13" s="92"/>
      <c r="FO13" s="92">
        <v>40</v>
      </c>
      <c r="FP13" s="92"/>
      <c r="FQ13" s="92"/>
      <c r="FR13" s="93"/>
      <c r="FS13" s="151">
        <f t="shared" si="102"/>
        <v>40</v>
      </c>
      <c r="FT13" s="18">
        <v>40</v>
      </c>
    </row>
    <row r="14" spans="2:176" ht="14.25" hidden="1" thickBot="1">
      <c r="B14" s="479"/>
      <c r="C14" s="221" t="s">
        <v>58</v>
      </c>
      <c r="D14" s="197">
        <f t="shared" si="69"/>
      </c>
      <c r="E14" s="197">
        <f t="shared" si="70"/>
      </c>
      <c r="F14" s="197">
        <f t="shared" si="71"/>
      </c>
      <c r="G14" s="197">
        <f t="shared" si="72"/>
      </c>
      <c r="H14" s="197">
        <f t="shared" si="73"/>
      </c>
      <c r="I14" s="198">
        <f t="shared" si="74"/>
      </c>
      <c r="J14" s="18">
        <v>70</v>
      </c>
      <c r="K14" s="157"/>
      <c r="M14" s="479"/>
      <c r="N14" s="160" t="s">
        <v>58</v>
      </c>
      <c r="O14" s="171"/>
      <c r="P14" s="100"/>
      <c r="Q14" s="100"/>
      <c r="R14" s="100"/>
      <c r="S14" s="100"/>
      <c r="T14" s="101"/>
      <c r="U14" s="26">
        <v>15</v>
      </c>
      <c r="V14" s="18">
        <v>70</v>
      </c>
      <c r="X14" s="479"/>
      <c r="Y14" s="160" t="s">
        <v>58</v>
      </c>
      <c r="Z14" s="171"/>
      <c r="AA14" s="100"/>
      <c r="AB14" s="100"/>
      <c r="AC14" s="100"/>
      <c r="AD14" s="100"/>
      <c r="AE14" s="101"/>
      <c r="AF14" s="26">
        <v>15</v>
      </c>
      <c r="AG14" s="18">
        <v>70</v>
      </c>
      <c r="AI14" s="479"/>
      <c r="AJ14" s="160" t="s">
        <v>58</v>
      </c>
      <c r="AK14" s="171"/>
      <c r="AL14" s="100"/>
      <c r="AM14" s="100"/>
      <c r="AN14" s="100"/>
      <c r="AO14" s="100"/>
      <c r="AP14" s="101"/>
      <c r="AQ14" s="26">
        <v>15</v>
      </c>
      <c r="AR14" s="18">
        <v>70</v>
      </c>
      <c r="AT14" s="479"/>
      <c r="AU14" s="221" t="s">
        <v>58</v>
      </c>
      <c r="AV14" s="197">
        <f t="shared" si="75"/>
      </c>
      <c r="AW14" s="197">
        <f t="shared" si="76"/>
      </c>
      <c r="AX14" s="197">
        <f t="shared" si="77"/>
      </c>
      <c r="AY14" s="197">
        <f t="shared" si="78"/>
      </c>
      <c r="AZ14" s="197">
        <f t="shared" si="79"/>
      </c>
      <c r="BA14" s="198">
        <f t="shared" si="80"/>
      </c>
      <c r="BB14" s="18">
        <v>70</v>
      </c>
      <c r="BC14" s="157"/>
      <c r="BE14" s="479"/>
      <c r="BF14" s="160" t="s">
        <v>58</v>
      </c>
      <c r="BG14" s="171"/>
      <c r="BH14" s="100"/>
      <c r="BI14" s="100"/>
      <c r="BJ14" s="100"/>
      <c r="BK14" s="100"/>
      <c r="BL14" s="101"/>
      <c r="BM14" s="26">
        <v>15</v>
      </c>
      <c r="BN14" s="18">
        <v>70</v>
      </c>
      <c r="BP14" s="479"/>
      <c r="BQ14" s="160" t="s">
        <v>58</v>
      </c>
      <c r="BR14" s="171"/>
      <c r="BS14" s="100"/>
      <c r="BT14" s="100"/>
      <c r="BU14" s="100"/>
      <c r="BV14" s="100"/>
      <c r="BW14" s="101"/>
      <c r="BX14" s="26">
        <v>15</v>
      </c>
      <c r="BY14" s="18">
        <v>70</v>
      </c>
      <c r="CA14" s="479"/>
      <c r="CB14" s="221" t="s">
        <v>58</v>
      </c>
      <c r="CC14" s="197">
        <f t="shared" si="81"/>
      </c>
      <c r="CD14" s="197">
        <f t="shared" si="82"/>
      </c>
      <c r="CE14" s="197">
        <f t="shared" si="83"/>
      </c>
      <c r="CF14" s="197">
        <f t="shared" si="84"/>
      </c>
      <c r="CG14" s="197">
        <f t="shared" si="85"/>
      </c>
      <c r="CH14" s="198">
        <f t="shared" si="86"/>
      </c>
      <c r="CI14" s="18">
        <v>70</v>
      </c>
      <c r="CJ14" s="157"/>
      <c r="CL14" s="479"/>
      <c r="CM14" s="160" t="s">
        <v>58</v>
      </c>
      <c r="CN14" s="171"/>
      <c r="CO14" s="100"/>
      <c r="CP14" s="100" t="s">
        <v>204</v>
      </c>
      <c r="CQ14" s="100"/>
      <c r="CR14" s="100"/>
      <c r="CS14" s="101"/>
      <c r="CT14" s="26">
        <v>15</v>
      </c>
      <c r="CU14" s="18">
        <v>70</v>
      </c>
      <c r="CW14" s="479"/>
      <c r="CX14" s="221" t="s">
        <v>58</v>
      </c>
      <c r="CY14" s="197">
        <f t="shared" si="87"/>
      </c>
      <c r="CZ14" s="197">
        <f t="shared" si="88"/>
      </c>
      <c r="DA14" s="197" t="str">
        <f t="shared" si="89"/>
        <v>○</v>
      </c>
      <c r="DB14" s="197">
        <f t="shared" si="90"/>
      </c>
      <c r="DC14" s="197">
        <f t="shared" si="91"/>
      </c>
      <c r="DD14" s="198">
        <f t="shared" si="92"/>
      </c>
      <c r="DE14" s="18">
        <v>70</v>
      </c>
      <c r="DF14" s="157"/>
      <c r="DH14" s="479"/>
      <c r="DI14" s="160" t="s">
        <v>58</v>
      </c>
      <c r="DJ14" s="171"/>
      <c r="DK14" s="100"/>
      <c r="DL14" s="100" t="s">
        <v>77</v>
      </c>
      <c r="DM14" s="100"/>
      <c r="DN14" s="100"/>
      <c r="DO14" s="101"/>
      <c r="DP14" s="26">
        <v>15</v>
      </c>
      <c r="DQ14" s="18">
        <v>70</v>
      </c>
      <c r="DS14" s="479"/>
      <c r="DT14" s="221" t="s">
        <v>58</v>
      </c>
      <c r="DU14" s="197">
        <f t="shared" si="93"/>
      </c>
      <c r="DV14" s="197">
        <f t="shared" si="94"/>
      </c>
      <c r="DW14" s="197" t="str">
        <f t="shared" si="95"/>
        <v>○</v>
      </c>
      <c r="DX14" s="197">
        <f t="shared" si="96"/>
      </c>
      <c r="DY14" s="197">
        <f t="shared" si="97"/>
      </c>
      <c r="DZ14" s="198">
        <f t="shared" si="98"/>
      </c>
      <c r="EA14" s="18">
        <v>70</v>
      </c>
      <c r="EB14" s="157"/>
      <c r="ED14" s="479"/>
      <c r="EE14" s="160" t="s">
        <v>58</v>
      </c>
      <c r="EF14" s="171"/>
      <c r="EG14" s="100"/>
      <c r="EH14" s="100" t="s">
        <v>77</v>
      </c>
      <c r="EI14" s="100"/>
      <c r="EJ14" s="100"/>
      <c r="EK14" s="101"/>
      <c r="EL14" s="26">
        <v>15</v>
      </c>
      <c r="EM14" s="18">
        <v>70</v>
      </c>
      <c r="EO14" s="479"/>
      <c r="EP14" s="221" t="s">
        <v>58</v>
      </c>
      <c r="EQ14" s="197">
        <f t="shared" si="99"/>
      </c>
      <c r="ER14" s="197">
        <f t="shared" si="99"/>
      </c>
      <c r="ES14" s="197" t="str">
        <f>IF(FD14="○",FD14,"")</f>
        <v>○</v>
      </c>
      <c r="ET14" s="197">
        <f t="shared" si="99"/>
      </c>
      <c r="EU14" s="197">
        <f t="shared" si="100"/>
      </c>
      <c r="EV14" s="198">
        <f t="shared" si="101"/>
      </c>
      <c r="EW14" s="18">
        <v>70</v>
      </c>
      <c r="EX14" s="157"/>
      <c r="EZ14" s="479"/>
      <c r="FA14" s="160" t="s">
        <v>58</v>
      </c>
      <c r="FB14" s="171"/>
      <c r="FC14" s="100"/>
      <c r="FD14" s="100" t="s">
        <v>77</v>
      </c>
      <c r="FE14" s="100"/>
      <c r="FF14" s="100"/>
      <c r="FG14" s="101"/>
      <c r="FH14" s="26">
        <v>15</v>
      </c>
      <c r="FI14" s="18">
        <v>70</v>
      </c>
      <c r="FK14" s="510"/>
      <c r="FL14" s="43" t="s">
        <v>58</v>
      </c>
      <c r="FM14" s="98"/>
      <c r="FN14" s="92"/>
      <c r="FO14" s="92">
        <v>70</v>
      </c>
      <c r="FP14" s="92"/>
      <c r="FQ14" s="92"/>
      <c r="FR14" s="93"/>
      <c r="FS14" s="151">
        <f t="shared" si="102"/>
        <v>70</v>
      </c>
      <c r="FT14" s="18">
        <v>70</v>
      </c>
    </row>
    <row r="15" spans="2:176" ht="14.25" hidden="1" thickBot="1">
      <c r="B15" s="479"/>
      <c r="C15" s="221" t="s">
        <v>59</v>
      </c>
      <c r="D15" s="197">
        <f t="shared" si="69"/>
      </c>
      <c r="E15" s="197">
        <f t="shared" si="70"/>
      </c>
      <c r="F15" s="197">
        <f t="shared" si="71"/>
      </c>
      <c r="G15" s="197">
        <f t="shared" si="72"/>
      </c>
      <c r="H15" s="197">
        <f t="shared" si="73"/>
      </c>
      <c r="I15" s="198">
        <f t="shared" si="74"/>
      </c>
      <c r="J15" s="18">
        <v>110</v>
      </c>
      <c r="K15" s="157"/>
      <c r="M15" s="479"/>
      <c r="N15" s="160" t="s">
        <v>59</v>
      </c>
      <c r="O15" s="171"/>
      <c r="P15" s="100"/>
      <c r="Q15" s="100"/>
      <c r="R15" s="100"/>
      <c r="S15" s="100"/>
      <c r="T15" s="101"/>
      <c r="U15" s="26">
        <v>20</v>
      </c>
      <c r="V15" s="18">
        <v>110</v>
      </c>
      <c r="X15" s="479"/>
      <c r="Y15" s="160" t="s">
        <v>59</v>
      </c>
      <c r="Z15" s="171"/>
      <c r="AA15" s="100"/>
      <c r="AB15" s="100"/>
      <c r="AC15" s="100"/>
      <c r="AD15" s="100"/>
      <c r="AE15" s="101"/>
      <c r="AF15" s="26">
        <v>20</v>
      </c>
      <c r="AG15" s="18">
        <v>110</v>
      </c>
      <c r="AI15" s="479"/>
      <c r="AJ15" s="160" t="s">
        <v>59</v>
      </c>
      <c r="AK15" s="171"/>
      <c r="AL15" s="100"/>
      <c r="AM15" s="100"/>
      <c r="AN15" s="100"/>
      <c r="AO15" s="100"/>
      <c r="AP15" s="101"/>
      <c r="AQ15" s="26">
        <v>20</v>
      </c>
      <c r="AR15" s="18">
        <v>110</v>
      </c>
      <c r="AT15" s="479"/>
      <c r="AU15" s="221" t="s">
        <v>59</v>
      </c>
      <c r="AV15" s="197">
        <f t="shared" si="75"/>
      </c>
      <c r="AW15" s="197">
        <f t="shared" si="76"/>
      </c>
      <c r="AX15" s="197">
        <f t="shared" si="77"/>
      </c>
      <c r="AY15" s="197">
        <f t="shared" si="78"/>
      </c>
      <c r="AZ15" s="197">
        <f t="shared" si="79"/>
      </c>
      <c r="BA15" s="198">
        <f t="shared" si="80"/>
      </c>
      <c r="BB15" s="18">
        <v>110</v>
      </c>
      <c r="BC15" s="157"/>
      <c r="BE15" s="479"/>
      <c r="BF15" s="160" t="s">
        <v>59</v>
      </c>
      <c r="BG15" s="171"/>
      <c r="BH15" s="100"/>
      <c r="BI15" s="100"/>
      <c r="BJ15" s="100"/>
      <c r="BK15" s="100"/>
      <c r="BL15" s="101"/>
      <c r="BM15" s="26">
        <v>20</v>
      </c>
      <c r="BN15" s="18">
        <v>110</v>
      </c>
      <c r="BP15" s="479"/>
      <c r="BQ15" s="160" t="s">
        <v>59</v>
      </c>
      <c r="BR15" s="171"/>
      <c r="BS15" s="100"/>
      <c r="BT15" s="100"/>
      <c r="BU15" s="100"/>
      <c r="BV15" s="100"/>
      <c r="BW15" s="101"/>
      <c r="BX15" s="26">
        <v>20</v>
      </c>
      <c r="BY15" s="18">
        <v>110</v>
      </c>
      <c r="CA15" s="479"/>
      <c r="CB15" s="221" t="s">
        <v>59</v>
      </c>
      <c r="CC15" s="197">
        <f t="shared" si="81"/>
      </c>
      <c r="CD15" s="197">
        <f t="shared" si="82"/>
      </c>
      <c r="CE15" s="197">
        <f t="shared" si="83"/>
      </c>
      <c r="CF15" s="197">
        <f t="shared" si="84"/>
      </c>
      <c r="CG15" s="197">
        <f t="shared" si="85"/>
      </c>
      <c r="CH15" s="198">
        <f t="shared" si="86"/>
      </c>
      <c r="CI15" s="18">
        <v>110</v>
      </c>
      <c r="CJ15" s="157"/>
      <c r="CL15" s="479"/>
      <c r="CM15" s="160" t="s">
        <v>59</v>
      </c>
      <c r="CN15" s="171" t="s">
        <v>205</v>
      </c>
      <c r="CO15" s="100"/>
      <c r="CP15" s="100"/>
      <c r="CQ15" s="100"/>
      <c r="CR15" s="100"/>
      <c r="CS15" s="101"/>
      <c r="CT15" s="26">
        <v>20</v>
      </c>
      <c r="CU15" s="18">
        <v>110</v>
      </c>
      <c r="CW15" s="479"/>
      <c r="CX15" s="221" t="s">
        <v>59</v>
      </c>
      <c r="CY15" s="197" t="str">
        <f t="shared" si="87"/>
        <v>○</v>
      </c>
      <c r="CZ15" s="197">
        <f t="shared" si="88"/>
      </c>
      <c r="DA15" s="197">
        <f t="shared" si="89"/>
      </c>
      <c r="DB15" s="197">
        <f t="shared" si="90"/>
      </c>
      <c r="DC15" s="197">
        <f t="shared" si="91"/>
      </c>
      <c r="DD15" s="198">
        <f t="shared" si="92"/>
      </c>
      <c r="DE15" s="18">
        <v>110</v>
      </c>
      <c r="DF15" s="157"/>
      <c r="DH15" s="479"/>
      <c r="DI15" s="160" t="s">
        <v>59</v>
      </c>
      <c r="DJ15" s="171" t="s">
        <v>77</v>
      </c>
      <c r="DK15" s="100"/>
      <c r="DL15" s="100"/>
      <c r="DM15" s="100"/>
      <c r="DN15" s="100"/>
      <c r="DO15" s="101"/>
      <c r="DP15" s="26">
        <v>20</v>
      </c>
      <c r="DQ15" s="18">
        <v>110</v>
      </c>
      <c r="DS15" s="479"/>
      <c r="DT15" s="221" t="s">
        <v>59</v>
      </c>
      <c r="DU15" s="197" t="str">
        <f t="shared" si="93"/>
        <v>○</v>
      </c>
      <c r="DV15" s="197">
        <f t="shared" si="94"/>
      </c>
      <c r="DW15" s="197">
        <f t="shared" si="95"/>
      </c>
      <c r="DX15" s="197">
        <f t="shared" si="96"/>
      </c>
      <c r="DY15" s="197">
        <f t="shared" si="97"/>
      </c>
      <c r="DZ15" s="198">
        <f t="shared" si="98"/>
      </c>
      <c r="EA15" s="18">
        <v>110</v>
      </c>
      <c r="EB15" s="157"/>
      <c r="ED15" s="479"/>
      <c r="EE15" s="160" t="s">
        <v>59</v>
      </c>
      <c r="EF15" s="171" t="s">
        <v>77</v>
      </c>
      <c r="EG15" s="100"/>
      <c r="EH15" s="100"/>
      <c r="EI15" s="100"/>
      <c r="EJ15" s="100"/>
      <c r="EK15" s="101"/>
      <c r="EL15" s="26">
        <v>20</v>
      </c>
      <c r="EM15" s="18">
        <v>110</v>
      </c>
      <c r="EO15" s="479"/>
      <c r="EP15" s="221" t="s">
        <v>59</v>
      </c>
      <c r="EQ15" s="197" t="str">
        <f t="shared" si="99"/>
        <v>○</v>
      </c>
      <c r="ER15" s="197">
        <f t="shared" si="99"/>
      </c>
      <c r="ES15" s="197">
        <f t="shared" si="99"/>
      </c>
      <c r="ET15" s="197">
        <f t="shared" si="99"/>
      </c>
      <c r="EU15" s="197">
        <f t="shared" si="100"/>
      </c>
      <c r="EV15" s="198">
        <f t="shared" si="101"/>
      </c>
      <c r="EW15" s="18">
        <v>110</v>
      </c>
      <c r="EX15" s="157"/>
      <c r="EZ15" s="479"/>
      <c r="FA15" s="160" t="s">
        <v>59</v>
      </c>
      <c r="FB15" s="171" t="s">
        <v>77</v>
      </c>
      <c r="FC15" s="100"/>
      <c r="FD15" s="100"/>
      <c r="FE15" s="100"/>
      <c r="FF15" s="100"/>
      <c r="FG15" s="101"/>
      <c r="FH15" s="26">
        <v>20</v>
      </c>
      <c r="FI15" s="18">
        <v>110</v>
      </c>
      <c r="FK15" s="510"/>
      <c r="FL15" s="43" t="s">
        <v>59</v>
      </c>
      <c r="FM15" s="98">
        <v>125</v>
      </c>
      <c r="FN15" s="92"/>
      <c r="FO15" s="92"/>
      <c r="FP15" s="92"/>
      <c r="FQ15" s="92"/>
      <c r="FR15" s="93"/>
      <c r="FS15" s="151">
        <f t="shared" si="102"/>
        <v>125</v>
      </c>
      <c r="FT15" s="18">
        <v>110</v>
      </c>
    </row>
    <row r="16" spans="2:176" ht="14.25" hidden="1" thickBot="1">
      <c r="B16" s="479"/>
      <c r="C16" s="221" t="s">
        <v>60</v>
      </c>
      <c r="D16" s="197">
        <f t="shared" si="69"/>
      </c>
      <c r="E16" s="197">
        <f t="shared" si="70"/>
      </c>
      <c r="F16" s="197">
        <f t="shared" si="71"/>
      </c>
      <c r="G16" s="197">
        <f t="shared" si="72"/>
      </c>
      <c r="H16" s="197">
        <f t="shared" si="73"/>
      </c>
      <c r="I16" s="198">
        <f t="shared" si="74"/>
      </c>
      <c r="J16" s="18">
        <v>160</v>
      </c>
      <c r="K16" s="157"/>
      <c r="M16" s="479"/>
      <c r="N16" s="160" t="s">
        <v>60</v>
      </c>
      <c r="O16" s="171"/>
      <c r="P16" s="100"/>
      <c r="Q16" s="100"/>
      <c r="R16" s="100"/>
      <c r="S16" s="100"/>
      <c r="T16" s="101"/>
      <c r="U16" s="26">
        <v>25</v>
      </c>
      <c r="V16" s="18">
        <v>160</v>
      </c>
      <c r="X16" s="479"/>
      <c r="Y16" s="160" t="s">
        <v>60</v>
      </c>
      <c r="Z16" s="171"/>
      <c r="AA16" s="100"/>
      <c r="AB16" s="100"/>
      <c r="AC16" s="100"/>
      <c r="AD16" s="100"/>
      <c r="AE16" s="101"/>
      <c r="AF16" s="26">
        <v>25</v>
      </c>
      <c r="AG16" s="18">
        <v>160</v>
      </c>
      <c r="AI16" s="479"/>
      <c r="AJ16" s="160" t="s">
        <v>60</v>
      </c>
      <c r="AK16" s="171"/>
      <c r="AL16" s="100"/>
      <c r="AM16" s="100"/>
      <c r="AN16" s="100"/>
      <c r="AO16" s="100"/>
      <c r="AP16" s="101"/>
      <c r="AQ16" s="26">
        <v>25</v>
      </c>
      <c r="AR16" s="18">
        <v>160</v>
      </c>
      <c r="AT16" s="479"/>
      <c r="AU16" s="221" t="s">
        <v>60</v>
      </c>
      <c r="AV16" s="197">
        <f t="shared" si="75"/>
      </c>
      <c r="AW16" s="197">
        <f t="shared" si="76"/>
      </c>
      <c r="AX16" s="197">
        <f t="shared" si="77"/>
      </c>
      <c r="AY16" s="197">
        <f t="shared" si="78"/>
      </c>
      <c r="AZ16" s="197">
        <f t="shared" si="79"/>
      </c>
      <c r="BA16" s="198">
        <f t="shared" si="80"/>
      </c>
      <c r="BB16" s="18">
        <v>160</v>
      </c>
      <c r="BC16" s="157"/>
      <c r="BE16" s="479"/>
      <c r="BF16" s="160" t="s">
        <v>60</v>
      </c>
      <c r="BG16" s="171"/>
      <c r="BH16" s="100"/>
      <c r="BI16" s="100"/>
      <c r="BJ16" s="100"/>
      <c r="BK16" s="100"/>
      <c r="BL16" s="101"/>
      <c r="BM16" s="26">
        <v>25</v>
      </c>
      <c r="BN16" s="18">
        <v>160</v>
      </c>
      <c r="BP16" s="479"/>
      <c r="BQ16" s="160" t="s">
        <v>60</v>
      </c>
      <c r="BR16" s="171"/>
      <c r="BS16" s="100"/>
      <c r="BT16" s="100"/>
      <c r="BU16" s="100"/>
      <c r="BV16" s="100"/>
      <c r="BW16" s="101"/>
      <c r="BX16" s="26">
        <v>25</v>
      </c>
      <c r="BY16" s="18">
        <v>160</v>
      </c>
      <c r="CA16" s="479"/>
      <c r="CB16" s="221" t="s">
        <v>60</v>
      </c>
      <c r="CC16" s="197">
        <f t="shared" si="81"/>
      </c>
      <c r="CD16" s="197">
        <f t="shared" si="82"/>
      </c>
      <c r="CE16" s="197">
        <f t="shared" si="83"/>
      </c>
      <c r="CF16" s="197">
        <f t="shared" si="84"/>
      </c>
      <c r="CG16" s="197">
        <f t="shared" si="85"/>
      </c>
      <c r="CH16" s="198">
        <f t="shared" si="86"/>
      </c>
      <c r="CI16" s="18">
        <v>160</v>
      </c>
      <c r="CJ16" s="157"/>
      <c r="CL16" s="479"/>
      <c r="CM16" s="160" t="s">
        <v>60</v>
      </c>
      <c r="CN16" s="171"/>
      <c r="CO16" s="100" t="s">
        <v>206</v>
      </c>
      <c r="CP16" s="100"/>
      <c r="CQ16" s="100"/>
      <c r="CR16" s="100"/>
      <c r="CS16" s="101"/>
      <c r="CT16" s="26">
        <v>25</v>
      </c>
      <c r="CU16" s="18">
        <v>160</v>
      </c>
      <c r="CW16" s="479"/>
      <c r="CX16" s="221" t="s">
        <v>60</v>
      </c>
      <c r="CY16" s="197">
        <f t="shared" si="87"/>
      </c>
      <c r="CZ16" s="197" t="str">
        <f t="shared" si="88"/>
        <v>○</v>
      </c>
      <c r="DA16" s="197">
        <f t="shared" si="89"/>
      </c>
      <c r="DB16" s="197">
        <f t="shared" si="90"/>
      </c>
      <c r="DC16" s="197">
        <f t="shared" si="91"/>
      </c>
      <c r="DD16" s="198">
        <f t="shared" si="92"/>
      </c>
      <c r="DE16" s="18">
        <v>160</v>
      </c>
      <c r="DF16" s="157"/>
      <c r="DH16" s="479"/>
      <c r="DI16" s="160" t="s">
        <v>60</v>
      </c>
      <c r="DJ16" s="171"/>
      <c r="DK16" s="100" t="s">
        <v>77</v>
      </c>
      <c r="DL16" s="100"/>
      <c r="DM16" s="100"/>
      <c r="DN16" s="100"/>
      <c r="DO16" s="101"/>
      <c r="DP16" s="26">
        <v>25</v>
      </c>
      <c r="DQ16" s="18">
        <v>160</v>
      </c>
      <c r="DS16" s="479"/>
      <c r="DT16" s="221" t="s">
        <v>60</v>
      </c>
      <c r="DU16" s="197">
        <f t="shared" si="93"/>
      </c>
      <c r="DV16" s="197" t="str">
        <f t="shared" si="94"/>
        <v>○</v>
      </c>
      <c r="DW16" s="197">
        <f t="shared" si="95"/>
      </c>
      <c r="DX16" s="197">
        <f t="shared" si="96"/>
      </c>
      <c r="DY16" s="197">
        <f t="shared" si="97"/>
      </c>
      <c r="DZ16" s="198">
        <f t="shared" si="98"/>
      </c>
      <c r="EA16" s="18">
        <v>160</v>
      </c>
      <c r="EB16" s="157"/>
      <c r="ED16" s="479"/>
      <c r="EE16" s="160" t="s">
        <v>60</v>
      </c>
      <c r="EF16" s="171"/>
      <c r="EG16" s="100" t="s">
        <v>77</v>
      </c>
      <c r="EH16" s="100"/>
      <c r="EI16" s="100"/>
      <c r="EJ16" s="100"/>
      <c r="EK16" s="101"/>
      <c r="EL16" s="26">
        <v>25</v>
      </c>
      <c r="EM16" s="18">
        <v>160</v>
      </c>
      <c r="EO16" s="479"/>
      <c r="EP16" s="221" t="s">
        <v>60</v>
      </c>
      <c r="EQ16" s="197">
        <f t="shared" si="99"/>
      </c>
      <c r="ER16" s="197" t="str">
        <f t="shared" si="99"/>
        <v>○</v>
      </c>
      <c r="ES16" s="197">
        <f t="shared" si="99"/>
      </c>
      <c r="ET16" s="197">
        <f t="shared" si="99"/>
      </c>
      <c r="EU16" s="197">
        <f t="shared" si="100"/>
      </c>
      <c r="EV16" s="198">
        <f t="shared" si="101"/>
      </c>
      <c r="EW16" s="18">
        <v>160</v>
      </c>
      <c r="EX16" s="157"/>
      <c r="EZ16" s="479"/>
      <c r="FA16" s="160" t="s">
        <v>60</v>
      </c>
      <c r="FB16" s="171"/>
      <c r="FC16" s="100" t="s">
        <v>77</v>
      </c>
      <c r="FD16" s="100"/>
      <c r="FE16" s="100"/>
      <c r="FF16" s="100"/>
      <c r="FG16" s="101"/>
      <c r="FH16" s="26">
        <v>25</v>
      </c>
      <c r="FI16" s="18">
        <v>160</v>
      </c>
      <c r="FK16" s="510"/>
      <c r="FL16" s="43" t="s">
        <v>60</v>
      </c>
      <c r="FM16" s="98"/>
      <c r="FN16" s="92">
        <v>165</v>
      </c>
      <c r="FO16" s="92"/>
      <c r="FP16" s="92"/>
      <c r="FQ16" s="92"/>
      <c r="FR16" s="93"/>
      <c r="FS16" s="151">
        <f t="shared" si="102"/>
        <v>165</v>
      </c>
      <c r="FT16" s="18">
        <v>160</v>
      </c>
    </row>
    <row r="17" spans="2:176" ht="14.25" hidden="1" thickBot="1">
      <c r="B17" s="453"/>
      <c r="C17" s="41" t="s">
        <v>61</v>
      </c>
      <c r="D17" s="199">
        <f t="shared" si="69"/>
      </c>
      <c r="E17" s="199">
        <f t="shared" si="70"/>
      </c>
      <c r="F17" s="199">
        <f t="shared" si="71"/>
      </c>
      <c r="G17" s="199">
        <f t="shared" si="72"/>
      </c>
      <c r="H17" s="199">
        <f t="shared" si="73"/>
      </c>
      <c r="I17" s="200">
        <f t="shared" si="74"/>
      </c>
      <c r="J17" s="16">
        <v>0</v>
      </c>
      <c r="K17" s="157"/>
      <c r="M17" s="453"/>
      <c r="N17" s="164" t="s">
        <v>61</v>
      </c>
      <c r="O17" s="172"/>
      <c r="P17" s="117"/>
      <c r="Q17" s="117"/>
      <c r="R17" s="117"/>
      <c r="S17" s="117"/>
      <c r="T17" s="118"/>
      <c r="U17" s="166">
        <v>40</v>
      </c>
      <c r="V17" s="16">
        <v>0</v>
      </c>
      <c r="X17" s="453"/>
      <c r="Y17" s="164" t="s">
        <v>61</v>
      </c>
      <c r="Z17" s="172"/>
      <c r="AA17" s="117"/>
      <c r="AB17" s="117"/>
      <c r="AC17" s="117"/>
      <c r="AD17" s="117"/>
      <c r="AE17" s="118"/>
      <c r="AF17" s="166">
        <v>40</v>
      </c>
      <c r="AG17" s="16">
        <v>0</v>
      </c>
      <c r="AI17" s="453"/>
      <c r="AJ17" s="164" t="s">
        <v>61</v>
      </c>
      <c r="AK17" s="172"/>
      <c r="AL17" s="117"/>
      <c r="AM17" s="117"/>
      <c r="AN17" s="117"/>
      <c r="AO17" s="117"/>
      <c r="AP17" s="118"/>
      <c r="AQ17" s="166">
        <v>40</v>
      </c>
      <c r="AR17" s="16">
        <v>0</v>
      </c>
      <c r="AT17" s="453"/>
      <c r="AU17" s="41" t="s">
        <v>61</v>
      </c>
      <c r="AV17" s="199">
        <f t="shared" si="75"/>
      </c>
      <c r="AW17" s="199">
        <f t="shared" si="76"/>
      </c>
      <c r="AX17" s="199">
        <f t="shared" si="77"/>
      </c>
      <c r="AY17" s="199">
        <f t="shared" si="78"/>
      </c>
      <c r="AZ17" s="199">
        <f t="shared" si="79"/>
      </c>
      <c r="BA17" s="200">
        <f t="shared" si="80"/>
      </c>
      <c r="BB17" s="16">
        <v>0</v>
      </c>
      <c r="BC17" s="157"/>
      <c r="BE17" s="453"/>
      <c r="BF17" s="164" t="s">
        <v>61</v>
      </c>
      <c r="BG17" s="172"/>
      <c r="BH17" s="117"/>
      <c r="BI17" s="117"/>
      <c r="BJ17" s="117"/>
      <c r="BK17" s="117"/>
      <c r="BL17" s="118"/>
      <c r="BM17" s="166">
        <v>40</v>
      </c>
      <c r="BN17" s="16">
        <v>0</v>
      </c>
      <c r="BP17" s="453"/>
      <c r="BQ17" s="164" t="s">
        <v>61</v>
      </c>
      <c r="BR17" s="172" t="s">
        <v>205</v>
      </c>
      <c r="BS17" s="117"/>
      <c r="BT17" s="117"/>
      <c r="BU17" s="117"/>
      <c r="BV17" s="117"/>
      <c r="BW17" s="118"/>
      <c r="BX17" s="166">
        <v>40</v>
      </c>
      <c r="BY17" s="16">
        <v>0</v>
      </c>
      <c r="CA17" s="453"/>
      <c r="CB17" s="41" t="s">
        <v>61</v>
      </c>
      <c r="CC17" s="199" t="str">
        <f t="shared" si="81"/>
        <v>○</v>
      </c>
      <c r="CD17" s="199">
        <f t="shared" si="82"/>
      </c>
      <c r="CE17" s="199">
        <f t="shared" si="83"/>
      </c>
      <c r="CF17" s="199">
        <f t="shared" si="84"/>
      </c>
      <c r="CG17" s="199">
        <f t="shared" si="85"/>
      </c>
      <c r="CH17" s="200">
        <f t="shared" si="86"/>
      </c>
      <c r="CI17" s="16">
        <v>0</v>
      </c>
      <c r="CJ17" s="157"/>
      <c r="CL17" s="453"/>
      <c r="CM17" s="164" t="s">
        <v>61</v>
      </c>
      <c r="CN17" s="172" t="s">
        <v>77</v>
      </c>
      <c r="CO17" s="117"/>
      <c r="CP17" s="117"/>
      <c r="CQ17" s="117"/>
      <c r="CR17" s="117"/>
      <c r="CS17" s="118"/>
      <c r="CT17" s="166">
        <v>40</v>
      </c>
      <c r="CU17" s="16">
        <v>0</v>
      </c>
      <c r="CW17" s="453"/>
      <c r="CX17" s="41" t="s">
        <v>61</v>
      </c>
      <c r="CY17" s="199" t="str">
        <f t="shared" si="87"/>
        <v>○</v>
      </c>
      <c r="CZ17" s="199">
        <f t="shared" si="88"/>
      </c>
      <c r="DA17" s="199">
        <f t="shared" si="89"/>
      </c>
      <c r="DB17" s="199">
        <f t="shared" si="90"/>
      </c>
      <c r="DC17" s="199">
        <f t="shared" si="91"/>
      </c>
      <c r="DD17" s="200">
        <f t="shared" si="92"/>
      </c>
      <c r="DE17" s="16">
        <v>0</v>
      </c>
      <c r="DF17" s="157"/>
      <c r="DH17" s="453"/>
      <c r="DI17" s="164" t="s">
        <v>61</v>
      </c>
      <c r="DJ17" s="172" t="s">
        <v>77</v>
      </c>
      <c r="DK17" s="117"/>
      <c r="DL17" s="117"/>
      <c r="DM17" s="117"/>
      <c r="DN17" s="117"/>
      <c r="DO17" s="118"/>
      <c r="DP17" s="166">
        <v>40</v>
      </c>
      <c r="DQ17" s="16">
        <v>0</v>
      </c>
      <c r="DS17" s="453"/>
      <c r="DT17" s="41" t="s">
        <v>61</v>
      </c>
      <c r="DU17" s="199" t="str">
        <f t="shared" si="93"/>
        <v>○</v>
      </c>
      <c r="DV17" s="199">
        <f t="shared" si="94"/>
      </c>
      <c r="DW17" s="199">
        <f t="shared" si="95"/>
      </c>
      <c r="DX17" s="199">
        <f t="shared" si="96"/>
      </c>
      <c r="DY17" s="199">
        <f t="shared" si="97"/>
      </c>
      <c r="DZ17" s="200">
        <f t="shared" si="98"/>
      </c>
      <c r="EA17" s="16">
        <v>0</v>
      </c>
      <c r="EB17" s="157"/>
      <c r="ED17" s="453"/>
      <c r="EE17" s="164" t="s">
        <v>61</v>
      </c>
      <c r="EF17" s="172" t="s">
        <v>77</v>
      </c>
      <c r="EG17" s="117"/>
      <c r="EH17" s="117"/>
      <c r="EI17" s="117"/>
      <c r="EJ17" s="117"/>
      <c r="EK17" s="118"/>
      <c r="EL17" s="166">
        <v>40</v>
      </c>
      <c r="EM17" s="16">
        <v>0</v>
      </c>
      <c r="EO17" s="453"/>
      <c r="EP17" s="41" t="s">
        <v>61</v>
      </c>
      <c r="EQ17" s="199" t="str">
        <f t="shared" si="99"/>
        <v>○</v>
      </c>
      <c r="ER17" s="199">
        <f t="shared" si="99"/>
      </c>
      <c r="ES17" s="199">
        <f t="shared" si="99"/>
      </c>
      <c r="ET17" s="199">
        <f t="shared" si="99"/>
      </c>
      <c r="EU17" s="199">
        <f t="shared" si="100"/>
      </c>
      <c r="EV17" s="200">
        <f t="shared" si="101"/>
      </c>
      <c r="EW17" s="16">
        <v>0</v>
      </c>
      <c r="EX17" s="157"/>
      <c r="EZ17" s="453"/>
      <c r="FA17" s="164" t="s">
        <v>61</v>
      </c>
      <c r="FB17" s="172" t="s">
        <v>77</v>
      </c>
      <c r="FC17" s="117"/>
      <c r="FD17" s="117"/>
      <c r="FE17" s="117"/>
      <c r="FF17" s="117"/>
      <c r="FG17" s="118"/>
      <c r="FH17" s="166">
        <v>40</v>
      </c>
      <c r="FI17" s="16">
        <v>0</v>
      </c>
      <c r="FK17" s="546"/>
      <c r="FL17" s="48" t="s">
        <v>61</v>
      </c>
      <c r="FM17" s="99">
        <v>225</v>
      </c>
      <c r="FN17" s="95"/>
      <c r="FO17" s="95"/>
      <c r="FP17" s="95"/>
      <c r="FQ17" s="95"/>
      <c r="FR17" s="96"/>
      <c r="FS17" s="152">
        <f t="shared" si="102"/>
        <v>225</v>
      </c>
      <c r="FT17" s="16">
        <v>0</v>
      </c>
    </row>
    <row r="18" spans="2:176" ht="14.25" thickBot="1">
      <c r="B18" s="478" t="s">
        <v>62</v>
      </c>
      <c r="C18" s="222" t="s">
        <v>24</v>
      </c>
      <c r="D18" s="69">
        <f>IF(D20&lt;&gt;"○",0,J20)+IF(D21&lt;&gt;"○",0,J21)+IF(D22&lt;&gt;"○",0,J22)+IF(D23&lt;&gt;"○",0,J23)+IF(D24&lt;&gt;"○",0,J24)</f>
        <v>0</v>
      </c>
      <c r="E18" s="30">
        <f>IF(E20&lt;&gt;"○",0,J20)+IF(E21&lt;&gt;"○",0,J21)+IF(E22&lt;&gt;"○",0,J22)+IF(E23&lt;&gt;"○",0,J23)+IF(E24&lt;&gt;"○",0,J24)</f>
        <v>0</v>
      </c>
      <c r="F18" s="69">
        <f>IF(F20&lt;&gt;"○",0,J20)+IF(F21&lt;&gt;"○",0,J21)+IF(F22&lt;&gt;"○",0,J22)+IF(F23&lt;&gt;"○",0,J23)+IF(F24&lt;&gt;"○",0,J24)</f>
        <v>100</v>
      </c>
      <c r="G18" s="69">
        <f>IF(G20&lt;&gt;"○",0,J20)+IF(G21&lt;&gt;"○",0,J21)+IF(G22&lt;&gt;"○",0,J22)+IF(G23&lt;&gt;"○",0,J23)+IF(G24&lt;&gt;"○",0,J24)</f>
        <v>0</v>
      </c>
      <c r="H18" s="69">
        <f>IF(H20&lt;&gt;"○",0,J20)+IF(H21&lt;&gt;"○",0,J21)+IF(H22&lt;&gt;"○",0,J22)+IF(H23&lt;&gt;"○",0,J23)+IF(H24&lt;&gt;"○",0,J24)</f>
        <v>0</v>
      </c>
      <c r="I18" s="70">
        <f>IF(I20&lt;&gt;"○",0,J20)+IF(I21&lt;&gt;"○",0,J21)+IF(I22&lt;&gt;"○",0,J22)+IF(I23&lt;&gt;"○",0,J23)+IF(I24&lt;&gt;"○",0,J24)</f>
        <v>0</v>
      </c>
      <c r="J18" s="485" t="s">
        <v>71</v>
      </c>
      <c r="K18" s="188"/>
      <c r="M18" s="478" t="s">
        <v>62</v>
      </c>
      <c r="N18" s="162" t="s">
        <v>24</v>
      </c>
      <c r="O18" s="68">
        <f>IF(O20&lt;&gt;"○",0,V20)+IF(O21&lt;&gt;"○",0,V21)+IF(O22&lt;&gt;"○",0,V22)+IF(O23&lt;&gt;"○",0,V23)+IF(O24&lt;&gt;"○",0,V24)</f>
        <v>0</v>
      </c>
      <c r="P18" s="30">
        <f>IF(P20&lt;&gt;"○",0,V20)+IF(P21&lt;&gt;"○",0,V21)+IF(P22&lt;&gt;"○",0,V22)+IF(P23&lt;&gt;"○",0,V23)+IF(P24&lt;&gt;"○",0,V24)</f>
        <v>0</v>
      </c>
      <c r="Q18" s="69">
        <f>IF(Q20&lt;&gt;"○",0,V20)+IF(Q21&lt;&gt;"○",0,V21)+IF(Q22&lt;&gt;"○",0,V22)+IF(Q23&lt;&gt;"○",0,V23)+IF(Q24&lt;&gt;"○",0,V24)</f>
        <v>100</v>
      </c>
      <c r="R18" s="69">
        <f>IF(R20&lt;&gt;"○",0,V20)+IF(R21&lt;&gt;"○",0,V21)+IF(R22&lt;&gt;"○",0,V22)+IF(R23&lt;&gt;"○",0,V23)+IF(R24&lt;&gt;"○",0,V24)</f>
        <v>0</v>
      </c>
      <c r="S18" s="69">
        <f>IF(S20&lt;&gt;"○",0,V20)+IF(S21&lt;&gt;"○",0,V21)+IF(S22&lt;&gt;"○",0,V22)+IF(S23&lt;&gt;"○",0,V23)+IF(S24&lt;&gt;"○",0,V24)</f>
        <v>0</v>
      </c>
      <c r="T18" s="70">
        <f>IF(T20&lt;&gt;"○",0,V20)+IF(T21&lt;&gt;"○",0,V21)+IF(T22&lt;&gt;"○",0,V22)+IF(T23&lt;&gt;"○",0,V23)+IF(T24&lt;&gt;"○",0,V24)</f>
        <v>0</v>
      </c>
      <c r="U18" s="454" t="s">
        <v>76</v>
      </c>
      <c r="V18" s="456" t="s">
        <v>31</v>
      </c>
      <c r="X18" s="478" t="s">
        <v>62</v>
      </c>
      <c r="Y18" s="162" t="s">
        <v>24</v>
      </c>
      <c r="Z18" s="68">
        <f>IF(Z20&lt;&gt;"○",0,AG20)+IF(Z21&lt;&gt;"○",0,AG21)+IF(Z22&lt;&gt;"○",0,AG22)+IF(Z23&lt;&gt;"○",0,AG23)+IF(Z24&lt;&gt;"○",0,AG24)</f>
        <v>0</v>
      </c>
      <c r="AA18" s="30">
        <f>IF(AA20&lt;&gt;"○",0,AG20)+IF(AA21&lt;&gt;"○",0,AG21)+IF(AA22&lt;&gt;"○",0,AG22)+IF(AA23&lt;&gt;"○",0,AG23)+IF(AA24&lt;&gt;"○",0,AG24)</f>
        <v>0</v>
      </c>
      <c r="AB18" s="69">
        <f>IF(AB20&lt;&gt;"○",0,AG20)+IF(AB21&lt;&gt;"○",0,AG21)+IF(AB22&lt;&gt;"○",0,AG22)+IF(AB23&lt;&gt;"○",0,AG23)+IF(AB24&lt;&gt;"○",0,AG24)</f>
        <v>100</v>
      </c>
      <c r="AC18" s="69">
        <f>IF(AC20&lt;&gt;"○",0,AG20)+IF(AC21&lt;&gt;"○",0,AG21)+IF(AC22&lt;&gt;"○",0,AG22)+IF(AC23&lt;&gt;"○",0,AG23)+IF(AC24&lt;&gt;"○",0,AG24)</f>
        <v>0</v>
      </c>
      <c r="AD18" s="69">
        <f>IF(AD20&lt;&gt;"○",0,AG20)+IF(AD21&lt;&gt;"○",0,AG21)+IF(AD22&lt;&gt;"○",0,AG22)+IF(AD23&lt;&gt;"○",0,AG23)+IF(AD24&lt;&gt;"○",0,AG24)</f>
        <v>0</v>
      </c>
      <c r="AE18" s="70">
        <f>IF(AE20&lt;&gt;"○",0,AG20)+IF(AE21&lt;&gt;"○",0,AG21)+IF(AE22&lt;&gt;"○",0,AG22)+IF(AE23&lt;&gt;"○",0,AG23)+IF(AE24&lt;&gt;"○",0,AG24)</f>
        <v>0</v>
      </c>
      <c r="AF18" s="454" t="s">
        <v>76</v>
      </c>
      <c r="AG18" s="456" t="s">
        <v>31</v>
      </c>
      <c r="AI18" s="478" t="s">
        <v>62</v>
      </c>
      <c r="AJ18" s="162" t="s">
        <v>24</v>
      </c>
      <c r="AK18" s="68">
        <f>IF(AK20&lt;&gt;"○",0,AR20)+IF(AK21&lt;&gt;"○",0,AR21)+IF(AK22&lt;&gt;"○",0,AR22)+IF(AK23&lt;&gt;"○",0,AR23)+IF(AK24&lt;&gt;"○",0,AR24)</f>
        <v>0</v>
      </c>
      <c r="AL18" s="30">
        <f>IF(AL20&lt;&gt;"○",0,AR20)+IF(AL21&lt;&gt;"○",0,AR21)+IF(AL22&lt;&gt;"○",0,AR22)+IF(AL23&lt;&gt;"○",0,AR23)+IF(AL24&lt;&gt;"○",0,AR24)</f>
        <v>0</v>
      </c>
      <c r="AM18" s="69">
        <f>IF(AM20&lt;&gt;"○",0,AR20)+IF(AM21&lt;&gt;"○",0,AR21)+IF(AM22&lt;&gt;"○",0,AR22)+IF(AM23&lt;&gt;"○",0,AR23)+IF(AM24&lt;&gt;"○",0,AR24)</f>
        <v>100</v>
      </c>
      <c r="AN18" s="69">
        <f>IF(AN20&lt;&gt;"○",0,AR20)+IF(AN21&lt;&gt;"○",0,AR21)+IF(AN22&lt;&gt;"○",0,AR22)+IF(AN23&lt;&gt;"○",0,AR23)+IF(AN24&lt;&gt;"○",0,AR24)</f>
        <v>0</v>
      </c>
      <c r="AO18" s="69">
        <f>IF(AO20&lt;&gt;"○",0,AR20)+IF(AO21&lt;&gt;"○",0,AR21)+IF(AO22&lt;&gt;"○",0,AR22)+IF(AO23&lt;&gt;"○",0,AR23)+IF(AO24&lt;&gt;"○",0,AR24)</f>
        <v>0</v>
      </c>
      <c r="AP18" s="70">
        <f>IF(AP20&lt;&gt;"○",0,AR20)+IF(AP21&lt;&gt;"○",0,AR21)+IF(AP22&lt;&gt;"○",0,AR22)+IF(AP23&lt;&gt;"○",0,AR23)+IF(AP24&lt;&gt;"○",0,AR24)</f>
        <v>0</v>
      </c>
      <c r="AQ18" s="454" t="s">
        <v>76</v>
      </c>
      <c r="AR18" s="456" t="s">
        <v>31</v>
      </c>
      <c r="AT18" s="478" t="s">
        <v>62</v>
      </c>
      <c r="AU18" s="222" t="s">
        <v>24</v>
      </c>
      <c r="AV18" s="69">
        <f>IF(AV20&lt;&gt;"○",0,BB20)+IF(AV21&lt;&gt;"○",0,BB21)+IF(AV22&lt;&gt;"○",0,BB22)+IF(AV23&lt;&gt;"○",0,BB23)+IF(AV24&lt;&gt;"○",0,BB24)</f>
        <v>0</v>
      </c>
      <c r="AW18" s="30">
        <f>IF(AW20&lt;&gt;"○",0,BB20)+IF(AW21&lt;&gt;"○",0,BB21)+IF(AW22&lt;&gt;"○",0,BB22)+IF(AW23&lt;&gt;"○",0,BB23)+IF(AW24&lt;&gt;"○",0,BB24)</f>
        <v>0</v>
      </c>
      <c r="AX18" s="69">
        <f>IF(AX20&lt;&gt;"○",0,BB20)+IF(AX21&lt;&gt;"○",0,BB21)+IF(AX22&lt;&gt;"○",0,BB22)+IF(AX23&lt;&gt;"○",0,BB23)+IF(AX24&lt;&gt;"○",0,BB24)</f>
        <v>100</v>
      </c>
      <c r="AY18" s="69">
        <f>IF(AY20&lt;&gt;"○",0,BB20)+IF(AY21&lt;&gt;"○",0,BB21)+IF(AY22&lt;&gt;"○",0,BB22)+IF(AY23&lt;&gt;"○",0,BB23)+IF(AY24&lt;&gt;"○",0,BB24)</f>
        <v>0</v>
      </c>
      <c r="AZ18" s="69">
        <f>IF(AZ20&lt;&gt;"○",0,BB20)+IF(AZ21&lt;&gt;"○",0,BB21)+IF(AZ22&lt;&gt;"○",0,BB22)+IF(AZ23&lt;&gt;"○",0,BB23)+IF(AZ24&lt;&gt;"○",0,BB24)</f>
        <v>0</v>
      </c>
      <c r="BA18" s="70">
        <f>IF(BA20&lt;&gt;"○",0,BB20)+IF(BA21&lt;&gt;"○",0,BB21)+IF(BA22&lt;&gt;"○",0,BB22)+IF(BA23&lt;&gt;"○",0,BB23)+IF(BA24&lt;&gt;"○",0,BB24)</f>
        <v>0</v>
      </c>
      <c r="BB18" s="485" t="s">
        <v>71</v>
      </c>
      <c r="BC18" s="188"/>
      <c r="BE18" s="478" t="s">
        <v>62</v>
      </c>
      <c r="BF18" s="162" t="s">
        <v>24</v>
      </c>
      <c r="BG18" s="68">
        <f>IF(BG20&lt;&gt;"○",0,BN20)+IF(BG21&lt;&gt;"○",0,BN21)+IF(BG22&lt;&gt;"○",0,BN22)+IF(BG23&lt;&gt;"○",0,BN23)+IF(BG24&lt;&gt;"○",0,BN24)</f>
        <v>0</v>
      </c>
      <c r="BH18" s="30">
        <f>IF(BH20&lt;&gt;"○",0,BN20)+IF(BH21&lt;&gt;"○",0,BN21)+IF(BH22&lt;&gt;"○",0,BN22)+IF(BH23&lt;&gt;"○",0,BN23)+IF(BH24&lt;&gt;"○",0,BN24)</f>
        <v>0</v>
      </c>
      <c r="BI18" s="69">
        <f>IF(BI20&lt;&gt;"○",0,BN20)+IF(BI21&lt;&gt;"○",0,BN21)+IF(BI22&lt;&gt;"○",0,BN22)+IF(BI23&lt;&gt;"○",0,BN23)+IF(BI24&lt;&gt;"○",0,BN24)</f>
        <v>100</v>
      </c>
      <c r="BJ18" s="69">
        <f>IF(BJ20&lt;&gt;"○",0,BN20)+IF(BJ21&lt;&gt;"○",0,BN21)+IF(BJ22&lt;&gt;"○",0,BN22)+IF(BJ23&lt;&gt;"○",0,BN23)+IF(BJ24&lt;&gt;"○",0,BN24)</f>
        <v>0</v>
      </c>
      <c r="BK18" s="69">
        <f>IF(BK20&lt;&gt;"○",0,BN20)+IF(BK21&lt;&gt;"○",0,BN21)+IF(BK22&lt;&gt;"○",0,BN22)+IF(BK23&lt;&gt;"○",0,BN23)+IF(BK24&lt;&gt;"○",0,BN24)</f>
        <v>0</v>
      </c>
      <c r="BL18" s="70">
        <f>IF(BL20&lt;&gt;"○",0,BN20)+IF(BL21&lt;&gt;"○",0,BN21)+IF(BL22&lt;&gt;"○",0,BN22)+IF(BL23&lt;&gt;"○",0,BN23)+IF(BL24&lt;&gt;"○",0,BN24)</f>
        <v>0</v>
      </c>
      <c r="BM18" s="454" t="s">
        <v>76</v>
      </c>
      <c r="BN18" s="456" t="s">
        <v>31</v>
      </c>
      <c r="BP18" s="478" t="s">
        <v>62</v>
      </c>
      <c r="BQ18" s="162" t="s">
        <v>24</v>
      </c>
      <c r="BR18" s="68">
        <f>IF(BR20&lt;&gt;"○",0,BY20)+IF(BR21&lt;&gt;"○",0,BY21)+IF(BR22&lt;&gt;"○",0,BY22)+IF(BR23&lt;&gt;"○",0,BY23)+IF(BR24&lt;&gt;"○",0,BY24)</f>
        <v>0</v>
      </c>
      <c r="BS18" s="30">
        <f>IF(BS20&lt;&gt;"○",0,BY20)+IF(BS21&lt;&gt;"○",0,BY21)+IF(BS22&lt;&gt;"○",0,BY22)+IF(BS23&lt;&gt;"○",0,BY23)+IF(BS24&lt;&gt;"○",0,BY24)</f>
        <v>0</v>
      </c>
      <c r="BT18" s="69">
        <f>IF(BT20&lt;&gt;"○",0,BY20)+IF(BT21&lt;&gt;"○",0,BY21)+IF(BT22&lt;&gt;"○",0,BY22)+IF(BT23&lt;&gt;"○",0,BY23)+IF(BT24&lt;&gt;"○",0,BY24)</f>
        <v>260</v>
      </c>
      <c r="BU18" s="69">
        <f>IF(BU20&lt;&gt;"○",0,BY20)+IF(BU21&lt;&gt;"○",0,BY21)+IF(BU22&lt;&gt;"○",0,BY22)+IF(BU23&lt;&gt;"○",0,BY23)+IF(BU24&lt;&gt;"○",0,BY24)</f>
        <v>0</v>
      </c>
      <c r="BV18" s="69">
        <f>IF(BV20&lt;&gt;"○",0,BY20)+IF(BV21&lt;&gt;"○",0,BY21)+IF(BV22&lt;&gt;"○",0,BY22)+IF(BV23&lt;&gt;"○",0,BY23)+IF(BV24&lt;&gt;"○",0,BY24)</f>
        <v>0</v>
      </c>
      <c r="BW18" s="70">
        <f>IF(BW20&lt;&gt;"○",0,BY20)+IF(BW21&lt;&gt;"○",0,BY21)+IF(BW22&lt;&gt;"○",0,BY22)+IF(BW23&lt;&gt;"○",0,BY23)+IF(BW24&lt;&gt;"○",0,BY24)</f>
        <v>0</v>
      </c>
      <c r="BX18" s="454" t="s">
        <v>76</v>
      </c>
      <c r="BY18" s="456" t="s">
        <v>31</v>
      </c>
      <c r="CA18" s="478" t="s">
        <v>62</v>
      </c>
      <c r="CB18" s="222" t="s">
        <v>24</v>
      </c>
      <c r="CC18" s="69">
        <f>IF(CC20&lt;&gt;"○",0,CI20)+IF(CC21&lt;&gt;"○",0,CI21)+IF(CC22&lt;&gt;"○",0,CI22)+IF(CC23&lt;&gt;"○",0,CI23)+IF(CC24&lt;&gt;"○",0,CI24)</f>
        <v>0</v>
      </c>
      <c r="CD18" s="30">
        <f>IF(CD20&lt;&gt;"○",0,CI20)+IF(CD21&lt;&gt;"○",0,CI21)+IF(CD22&lt;&gt;"○",0,CI22)+IF(CD23&lt;&gt;"○",0,CI23)+IF(CD24&lt;&gt;"○",0,CI24)</f>
        <v>0</v>
      </c>
      <c r="CE18" s="69">
        <f>IF(CE20&lt;&gt;"○",0,CI20)+IF(CE21&lt;&gt;"○",0,CI21)+IF(CE22&lt;&gt;"○",0,CI22)+IF(CE23&lt;&gt;"○",0,CI23)+IF(CE24&lt;&gt;"○",0,CI24)</f>
        <v>260</v>
      </c>
      <c r="CF18" s="69">
        <f>IF(CF20&lt;&gt;"○",0,CI20)+IF(CF21&lt;&gt;"○",0,CI21)+IF(CF22&lt;&gt;"○",0,CI22)+IF(CF23&lt;&gt;"○",0,CI23)+IF(CF24&lt;&gt;"○",0,CI24)</f>
        <v>0</v>
      </c>
      <c r="CG18" s="69">
        <f>IF(CG20&lt;&gt;"○",0,CI20)+IF(CG21&lt;&gt;"○",0,CI21)+IF(CG22&lt;&gt;"○",0,CI22)+IF(CG23&lt;&gt;"○",0,CI23)+IF(CG24&lt;&gt;"○",0,CI24)</f>
        <v>0</v>
      </c>
      <c r="CH18" s="70">
        <f>IF(CH20&lt;&gt;"○",0,CI20)+IF(CH21&lt;&gt;"○",0,CI21)+IF(CH22&lt;&gt;"○",0,CI22)+IF(CH23&lt;&gt;"○",0,CI23)+IF(CH24&lt;&gt;"○",0,CI24)</f>
        <v>0</v>
      </c>
      <c r="CI18" s="485" t="s">
        <v>71</v>
      </c>
      <c r="CJ18" s="188"/>
      <c r="CL18" s="478" t="s">
        <v>62</v>
      </c>
      <c r="CM18" s="162" t="s">
        <v>24</v>
      </c>
      <c r="CN18" s="68">
        <f>IF(CN20&lt;&gt;"○",0,CU20)+IF(CN21&lt;&gt;"○",0,CU21)+IF(CN22&lt;&gt;"○",0,CU22)+IF(CN23&lt;&gt;"○",0,CU23)+IF(CN24&lt;&gt;"○",0,CU24)</f>
        <v>0</v>
      </c>
      <c r="CO18" s="30">
        <f>IF(CO20&lt;&gt;"○",0,CU20)+IF(CO21&lt;&gt;"○",0,CU21)+IF(CO22&lt;&gt;"○",0,CU22)+IF(CO23&lt;&gt;"○",0,CU23)+IF(CO24&lt;&gt;"○",0,CU24)</f>
        <v>0</v>
      </c>
      <c r="CP18" s="69">
        <f>IF(CP20&lt;&gt;"○",0,CU20)+IF(CP21&lt;&gt;"○",0,CU21)+IF(CP22&lt;&gt;"○",0,CU22)+IF(CP23&lt;&gt;"○",0,CU23)+IF(CP24&lt;&gt;"○",0,CU24)</f>
        <v>260</v>
      </c>
      <c r="CQ18" s="69">
        <f>IF(CQ20&lt;&gt;"○",0,CU20)+IF(CQ21&lt;&gt;"○",0,CU21)+IF(CQ22&lt;&gt;"○",0,CU22)+IF(CQ23&lt;&gt;"○",0,CU23)+IF(CQ24&lt;&gt;"○",0,CU24)</f>
        <v>0</v>
      </c>
      <c r="CR18" s="69">
        <f>IF(CR20&lt;&gt;"○",0,CU20)+IF(CR21&lt;&gt;"○",0,CU21)+IF(CR22&lt;&gt;"○",0,CU22)+IF(CR23&lt;&gt;"○",0,CU23)+IF(CR24&lt;&gt;"○",0,CU24)</f>
        <v>0</v>
      </c>
      <c r="CS18" s="70">
        <f>IF(CS20&lt;&gt;"○",0,CU20)+IF(CS21&lt;&gt;"○",0,CU21)+IF(CS22&lt;&gt;"○",0,CU22)+IF(CS23&lt;&gt;"○",0,CU23)+IF(CS24&lt;&gt;"○",0,CU24)</f>
        <v>0</v>
      </c>
      <c r="CT18" s="454" t="s">
        <v>76</v>
      </c>
      <c r="CU18" s="456" t="s">
        <v>31</v>
      </c>
      <c r="CW18" s="478" t="s">
        <v>62</v>
      </c>
      <c r="CX18" s="222" t="s">
        <v>24</v>
      </c>
      <c r="CY18" s="69">
        <f>IF(CY20&lt;&gt;"○",0,DE20)+IF(CY21&lt;&gt;"○",0,DE21)+IF(CY22&lt;&gt;"○",0,DE22)+IF(CY23&lt;&gt;"○",0,DE23)+IF(CY24&lt;&gt;"○",0,DE24)</f>
        <v>100</v>
      </c>
      <c r="CZ18" s="30">
        <f>IF(CZ20&lt;&gt;"○",0,DE20)+IF(CZ21&lt;&gt;"○",0,DE21)+IF(CZ22&lt;&gt;"○",0,DE22)+IF(CZ23&lt;&gt;"○",0,DE23)+IF(CZ24&lt;&gt;"○",0,DE24)</f>
        <v>300</v>
      </c>
      <c r="DA18" s="69">
        <f>IF(DA20&lt;&gt;"○",0,DE20)+IF(DA21&lt;&gt;"○",0,DE21)+IF(DA22&lt;&gt;"○",0,DE22)+IF(DA23&lt;&gt;"○",0,DE23)+IF(DA24&lt;&gt;"○",0,DE24)</f>
        <v>260</v>
      </c>
      <c r="DB18" s="69">
        <f>IF(DB20&lt;&gt;"○",0,DE20)+IF(DB21&lt;&gt;"○",0,DE21)+IF(DB22&lt;&gt;"○",0,DE22)+IF(DB23&lt;&gt;"○",0,DE23)+IF(DB24&lt;&gt;"○",0,DE24)</f>
        <v>0</v>
      </c>
      <c r="DC18" s="69">
        <f>IF(DC20&lt;&gt;"○",0,DE20)+IF(DC21&lt;&gt;"○",0,DE21)+IF(DC22&lt;&gt;"○",0,DE22)+IF(DC23&lt;&gt;"○",0,DE23)+IF(DC24&lt;&gt;"○",0,DE24)</f>
        <v>0</v>
      </c>
      <c r="DD18" s="70">
        <f>IF(DD20&lt;&gt;"○",0,DE20)+IF(DD21&lt;&gt;"○",0,DE21)+IF(DD22&lt;&gt;"○",0,DE22)+IF(DD23&lt;&gt;"○",0,DE23)+IF(DD24&lt;&gt;"○",0,DE24)</f>
        <v>0</v>
      </c>
      <c r="DE18" s="485" t="s">
        <v>71</v>
      </c>
      <c r="DF18" s="188"/>
      <c r="DH18" s="478" t="s">
        <v>62</v>
      </c>
      <c r="DI18" s="162" t="s">
        <v>24</v>
      </c>
      <c r="DJ18" s="68">
        <f>IF(DJ20&lt;&gt;"○",0,DQ20)+IF(DJ21&lt;&gt;"○",0,DQ21)+IF(DJ22&lt;&gt;"○",0,DQ22)+IF(DJ23&lt;&gt;"○",0,DQ23)+IF(DJ24&lt;&gt;"○",0,DQ24)</f>
        <v>100</v>
      </c>
      <c r="DK18" s="30">
        <f>IF(DK20&lt;&gt;"○",0,DQ20)+IF(DK21&lt;&gt;"○",0,DQ21)+IF(DK22&lt;&gt;"○",0,DQ22)+IF(DK23&lt;&gt;"○",0,DQ23)+IF(DK24&lt;&gt;"○",0,DQ24)</f>
        <v>300</v>
      </c>
      <c r="DL18" s="69">
        <f>IF(DL20&lt;&gt;"○",0,DQ20)+IF(DL21&lt;&gt;"○",0,DQ21)+IF(DL22&lt;&gt;"○",0,DQ22)+IF(DL23&lt;&gt;"○",0,DQ23)+IF(DL24&lt;&gt;"○",0,DQ24)</f>
        <v>260</v>
      </c>
      <c r="DM18" s="69">
        <f>IF(DM20&lt;&gt;"○",0,DQ20)+IF(DM21&lt;&gt;"○",0,DQ21)+IF(DM22&lt;&gt;"○",0,DQ22)+IF(DM23&lt;&gt;"○",0,DQ23)+IF(DM24&lt;&gt;"○",0,DQ24)</f>
        <v>0</v>
      </c>
      <c r="DN18" s="69">
        <f>IF(DN20&lt;&gt;"○",0,DQ20)+IF(DN21&lt;&gt;"○",0,DQ21)+IF(DN22&lt;&gt;"○",0,DQ22)+IF(DN23&lt;&gt;"○",0,DQ23)+IF(DN24&lt;&gt;"○",0,DQ24)</f>
        <v>0</v>
      </c>
      <c r="DO18" s="70">
        <f>IF(DO20&lt;&gt;"○",0,DQ20)+IF(DO21&lt;&gt;"○",0,DQ21)+IF(DO22&lt;&gt;"○",0,DQ22)+IF(DO23&lt;&gt;"○",0,DQ23)+IF(DO24&lt;&gt;"○",0,DQ24)</f>
        <v>0</v>
      </c>
      <c r="DP18" s="511" t="s">
        <v>76</v>
      </c>
      <c r="DQ18" s="456" t="s">
        <v>31</v>
      </c>
      <c r="DS18" s="478" t="s">
        <v>62</v>
      </c>
      <c r="DT18" s="222" t="s">
        <v>24</v>
      </c>
      <c r="DU18" s="69">
        <f>IF(DU20&lt;&gt;"○",0,EA20)+IF(DU21&lt;&gt;"○",0,EA21)+IF(DU22&lt;&gt;"○",0,EA22)+IF(DU23&lt;&gt;"○",0,EA23)+IF(DU24&lt;&gt;"○",0,EA24)</f>
        <v>100</v>
      </c>
      <c r="DV18" s="30">
        <f>IF(DV20&lt;&gt;"○",0,EA20)+IF(DV21&lt;&gt;"○",0,EA21)+IF(DV22&lt;&gt;"○",0,EA22)+IF(DV23&lt;&gt;"○",0,EA23)+IF(DV24&lt;&gt;"○",0,EA24)</f>
        <v>300</v>
      </c>
      <c r="DW18" s="69">
        <f>IF(DW20&lt;&gt;"○",0,EA20)+IF(DW21&lt;&gt;"○",0,EA21)+IF(DW22&lt;&gt;"○",0,EA22)+IF(DW23&lt;&gt;"○",0,EA23)+IF(DW24&lt;&gt;"○",0,EA24)</f>
        <v>260</v>
      </c>
      <c r="DX18" s="69">
        <f>IF(DX20&lt;&gt;"○",0,EA20)+IF(DX21&lt;&gt;"○",0,EA21)+IF(DX22&lt;&gt;"○",0,EA22)+IF(DX23&lt;&gt;"○",0,EA23)+IF(DX24&lt;&gt;"○",0,EA24)</f>
        <v>0</v>
      </c>
      <c r="DY18" s="69">
        <f>IF(DY20&lt;&gt;"○",0,EA20)+IF(DY21&lt;&gt;"○",0,EA21)+IF(DY22&lt;&gt;"○",0,EA22)+IF(DY23&lt;&gt;"○",0,EA23)+IF(DY24&lt;&gt;"○",0,EA24)</f>
        <v>0</v>
      </c>
      <c r="DZ18" s="70">
        <f>IF(DZ20&lt;&gt;"○",0,EA20)+IF(DZ21&lt;&gt;"○",0,EA21)+IF(DZ22&lt;&gt;"○",0,EA22)+IF(DZ23&lt;&gt;"○",0,EA23)+IF(DZ24&lt;&gt;"○",0,EA24)</f>
        <v>0</v>
      </c>
      <c r="EA18" s="456" t="s">
        <v>71</v>
      </c>
      <c r="EB18" s="188"/>
      <c r="ED18" s="478" t="s">
        <v>62</v>
      </c>
      <c r="EE18" s="162" t="s">
        <v>24</v>
      </c>
      <c r="EF18" s="68">
        <f>IF(EF20&lt;&gt;"○",0,EM20)+IF(EF21&lt;&gt;"○",0,EM21)+IF(EF22&lt;&gt;"○",0,EM22)+IF(EF23&lt;&gt;"○",0,EM23)+IF(EF24&lt;&gt;"○",0,EM24)</f>
        <v>100</v>
      </c>
      <c r="EG18" s="30">
        <f>IF(EG20&lt;&gt;"○",0,EM20)+IF(EG21&lt;&gt;"○",0,EM21)+IF(EG22&lt;&gt;"○",0,EM22)+IF(EG23&lt;&gt;"○",0,EM23)+IF(EG24&lt;&gt;"○",0,EM24)</f>
        <v>300</v>
      </c>
      <c r="EH18" s="69">
        <f>IF(EH20&lt;&gt;"○",0,EM20)+IF(EH21&lt;&gt;"○",0,EM21)+IF(EH22&lt;&gt;"○",0,EM22)+IF(EH23&lt;&gt;"○",0,EM23)+IF(EH24&lt;&gt;"○",0,EM24)</f>
        <v>260</v>
      </c>
      <c r="EI18" s="69">
        <f>IF(EI20&lt;&gt;"○",0,EM20)+IF(EI21&lt;&gt;"○",0,EM21)+IF(EI22&lt;&gt;"○",0,EM22)+IF(EI23&lt;&gt;"○",0,EM23)+IF(EI24&lt;&gt;"○",0,EM24)</f>
        <v>0</v>
      </c>
      <c r="EJ18" s="69">
        <f>IF(EJ20&lt;&gt;"○",0,EM20)+IF(EJ21&lt;&gt;"○",0,EM21)+IF(EJ22&lt;&gt;"○",0,EM22)+IF(EJ23&lt;&gt;"○",0,EM23)+IF(EJ24&lt;&gt;"○",0,EM24)</f>
        <v>0</v>
      </c>
      <c r="EK18" s="70">
        <f>IF(EK20&lt;&gt;"○",0,EM20)+IF(EK21&lt;&gt;"○",0,EM21)+IF(EK22&lt;&gt;"○",0,EM22)+IF(EK23&lt;&gt;"○",0,EM23)+IF(EK24&lt;&gt;"○",0,EM24)</f>
        <v>0</v>
      </c>
      <c r="EL18" s="511" t="s">
        <v>76</v>
      </c>
      <c r="EM18" s="456" t="s">
        <v>31</v>
      </c>
      <c r="EO18" s="478" t="s">
        <v>62</v>
      </c>
      <c r="EP18" s="222" t="s">
        <v>24</v>
      </c>
      <c r="EQ18" s="69">
        <f>IF(EQ20&lt;&gt;"○",0,EW20)+IF(EQ21&lt;&gt;"○",0,EW21)+IF(EQ22&lt;&gt;"○",0,EW22)+IF(EQ23&lt;&gt;"○",0,EW23)+IF(EQ24&lt;&gt;"○",0,EW24)</f>
        <v>100</v>
      </c>
      <c r="ER18" s="30">
        <f>IF(ER20&lt;&gt;"○",0,EW20)+IF(ER21&lt;&gt;"○",0,EW21)+IF(ER22&lt;&gt;"○",0,EW22)+IF(ER23&lt;&gt;"○",0,EW23)+IF(ER24&lt;&gt;"○",0,EW24)</f>
        <v>300</v>
      </c>
      <c r="ES18" s="69">
        <f>IF(ES20&lt;&gt;"○",0,EW20)+IF(ES21&lt;&gt;"○",0,EW21)+IF(ES22&lt;&gt;"○",0,EW22)+IF(ES23&lt;&gt;"○",0,EW23)+IF(ES24&lt;&gt;"○",0,EW24)</f>
        <v>260</v>
      </c>
      <c r="ET18" s="69">
        <f>IF(ET20&lt;&gt;"○",0,EW20)+IF(ET21&lt;&gt;"○",0,EW21)+IF(ET22&lt;&gt;"○",0,EW22)+IF(ET23&lt;&gt;"○",0,EW23)+IF(ET24&lt;&gt;"○",0,EW24)</f>
        <v>0</v>
      </c>
      <c r="EU18" s="69">
        <f>IF(EU20&lt;&gt;"○",0,EW20)+IF(EU21&lt;&gt;"○",0,EW21)+IF(EU22&lt;&gt;"○",0,EW22)+IF(EU23&lt;&gt;"○",0,EW23)+IF(EU24&lt;&gt;"○",0,EW24)</f>
        <v>0</v>
      </c>
      <c r="EV18" s="70">
        <f>IF(EV20&lt;&gt;"○",0,EW20)+IF(EV21&lt;&gt;"○",0,EW21)+IF(EV22&lt;&gt;"○",0,EW22)+IF(EV23&lt;&gt;"○",0,EW23)+IF(EV24&lt;&gt;"○",0,EW24)</f>
        <v>0</v>
      </c>
      <c r="EW18" s="456" t="s">
        <v>71</v>
      </c>
      <c r="EX18" s="188"/>
      <c r="EZ18" s="478" t="s">
        <v>62</v>
      </c>
      <c r="FA18" s="162" t="s">
        <v>24</v>
      </c>
      <c r="FB18" s="68">
        <f>IF(FB20&lt;&gt;"○",0,FI20)+IF(FB21&lt;&gt;"○",0,FI21)+IF(FB22&lt;&gt;"○",0,FI22)+IF(FB23&lt;&gt;"○",0,FI23)+IF(FB24&lt;&gt;"○",0,FI24)</f>
        <v>100</v>
      </c>
      <c r="FC18" s="30">
        <f>IF(FC20&lt;&gt;"○",0,FI20)+IF(FC21&lt;&gt;"○",0,FI21)+IF(FC22&lt;&gt;"○",0,FI22)+IF(FC23&lt;&gt;"○",0,FI23)+IF(FC24&lt;&gt;"○",0,FI24)</f>
        <v>300</v>
      </c>
      <c r="FD18" s="69">
        <f>IF(FD20&lt;&gt;"○",0,FI20)+IF(FD21&lt;&gt;"○",0,FI21)+IF(FD22&lt;&gt;"○",0,FI22)+IF(FD23&lt;&gt;"○",0,FI23)+IF(FD24&lt;&gt;"○",0,FI24)</f>
        <v>260</v>
      </c>
      <c r="FE18" s="69">
        <f>IF(FE20&lt;&gt;"○",0,FI20)+IF(FE21&lt;&gt;"○",0,FI21)+IF(FE22&lt;&gt;"○",0,FI22)+IF(FE23&lt;&gt;"○",0,FI23)+IF(FE24&lt;&gt;"○",0,FI24)</f>
        <v>0</v>
      </c>
      <c r="FF18" s="69">
        <f>IF(FF20&lt;&gt;"○",0,FI20)+IF(FF21&lt;&gt;"○",0,FI21)+IF(FF22&lt;&gt;"○",0,FI22)+IF(FF23&lt;&gt;"○",0,FI23)+IF(FF24&lt;&gt;"○",0,FI24)</f>
        <v>0</v>
      </c>
      <c r="FG18" s="70">
        <f>IF(FG20&lt;&gt;"○",0,FI20)+IF(FG21&lt;&gt;"○",0,FI21)+IF(FG22&lt;&gt;"○",0,FI22)+IF(FG23&lt;&gt;"○",0,FI23)+IF(FG24&lt;&gt;"○",0,FI24)</f>
        <v>0</v>
      </c>
      <c r="FH18" s="511" t="s">
        <v>76</v>
      </c>
      <c r="FI18" s="456" t="s">
        <v>31</v>
      </c>
      <c r="FK18" s="509" t="s">
        <v>62</v>
      </c>
      <c r="FL18" s="67" t="s">
        <v>24</v>
      </c>
      <c r="FM18" s="68">
        <f>IF(AND(FM20=FS20,FS20&gt;=FT20),FT20,0)+IF(AND(FM21=FS21,FS21&gt;=FT21),FT21,0)+IF(AND(FM22=FS22,FS22,FT22),FT22,0)+IF(AND(FM23=FS23,FS23&gt;=FT23),FT23,0)+IF(AND(FM24=FS24,FS24&gt;=FT24),FT24,0)</f>
        <v>100</v>
      </c>
      <c r="FN18" s="142">
        <f>IF(AND(FN20=FS20,FS20&gt;=FT20),FT20,0)+IF(AND(FN21=FS21,FS21&gt;=FT21),FT21,0)+IF(AND(FN22=FS22,FS22,FT22),FT22,0)+IF(AND(FN23=FS23,FS23&gt;=FT23),FT23,0)+IF(AND(FN24=FS24,FS24&gt;=FT24),FT24,0)</f>
        <v>300</v>
      </c>
      <c r="FO18" s="142">
        <f>IF(AND(FO20=FS20,FS20&gt;=FT20),FT20,0)+IF(AND(FO21=FS21,FS21&gt;=FT21),FT21,0)+IF(AND(FO22=FS22,FS22,FT22),FT22,0)+IF(AND(FO23=FS23,FS23&gt;=FT23),FT23,0)+IF(AND(FO24=FS24,FS24&gt;=FT24),FT24,0)</f>
        <v>260</v>
      </c>
      <c r="FP18" s="142">
        <f>IF(AND(FP20=FS20,FS20&gt;=FT20),FT20,0)+IF(AND(FP21=FS21,FS21&gt;=FT21),FT21,0)+IF(AND(FP22=FS22,FS22,FT22),FT22,0)+IF(AND(FP23=FS23,FS23&gt;=FT23),FT23,0)+IF(AND(FP24=FS24,FS24&gt;=FT24),FT24,0)</f>
        <v>0</v>
      </c>
      <c r="FQ18" s="142">
        <f>IF(AND(FQ20=FS20,FS20&gt;=FT20),FT20,0)+IF(AND(FQ21=FS21,FS21&gt;=FT21),FT21,0)+IF(AND(FQ22=FS22,FS22,FT22),FT22,0)+IF(AND(FQ23=FS23,FS23&gt;=FT23),FT23,0)+IF(AND(FQ24=FS24,FS24&gt;=FT24),FT24,0)</f>
        <v>0</v>
      </c>
      <c r="FR18" s="143">
        <f>IF(AND(FR20=FS20,FS20&gt;=FT20),FT20,0)+IF(AND(FR21=FS21,FS21&gt;=FT21),FT21,0)+IF(AND(FR22=FS22,FS22,FT22),FT22,0)+IF(AND(FR23=FS23,FS23&gt;=FT23),FT23,0)+IF(AND(FR24=FS24,FS24&gt;=FT24),FT24,0)</f>
        <v>0</v>
      </c>
      <c r="FS18" s="485" t="s">
        <v>33</v>
      </c>
      <c r="FT18" s="456" t="s">
        <v>71</v>
      </c>
    </row>
    <row r="19" spans="2:176" ht="14.25" thickBot="1">
      <c r="B19" s="479"/>
      <c r="C19" s="82"/>
      <c r="D19" s="208"/>
      <c r="E19" s="209"/>
      <c r="F19" s="209"/>
      <c r="G19" s="209"/>
      <c r="H19" s="209"/>
      <c r="I19" s="210"/>
      <c r="J19" s="486"/>
      <c r="K19" s="125"/>
      <c r="M19" s="479"/>
      <c r="N19" s="159" t="s">
        <v>80</v>
      </c>
      <c r="O19" s="168">
        <f>IF(ISBLANK(O20),0,U20)+IF(ISBLANK(O21),0,U21)+IF(ISBLANK(O22),0,U22)+IF(ISBLANK(O23),0,U23)+IF(ISBLANK(O24),0,U24)</f>
        <v>0</v>
      </c>
      <c r="P19" s="31">
        <f>IF(ISBLANK(P20),0,U20)+IF(ISBLANK(P21),0,U21)+IF(ISBLANK(P22),0,U22)+IF(ISBLANK(P23),0,U23)+IF(ISBLANK(P24),0,U24)</f>
        <v>0</v>
      </c>
      <c r="Q19" s="31">
        <f>IF(ISBLANK(Q20),0,U20)+IF(ISBLANK(Q21),0,U21)+IF(ISBLANK(Q22),0,U22)+IF(ISBLANK(Q23),0,U23)+IF(ISBLANK(Q24),0,U24)</f>
        <v>0</v>
      </c>
      <c r="R19" s="31">
        <f>IF(ISBLANK(R20),0,U20)+IF(ISBLANK(R21),0,U21)+IF(ISBLANK(R22),0,U22)+IF(ISBLANK(R23),0,U23)+IF(ISBLANK(R24),0,U24)</f>
        <v>0</v>
      </c>
      <c r="S19" s="31">
        <f>IF(ISBLANK(S20),0,U20)+IF(ISBLANK(S21),0,U21)+IF(ISBLANK(S22),0,U22)+IF(ISBLANK(S23),0,U23)+IF(ISBLANK(S24),0,U24)</f>
        <v>0</v>
      </c>
      <c r="T19" s="169">
        <f>IF(ISBLANK(T20),0,U20)+IF(ISBLANK(T21),0,U21)+IF(ISBLANK(T22),0,U22)+IF(ISBLANK(T23),0,U23)+IF(ISBLANK(T24),0,U24)</f>
        <v>0</v>
      </c>
      <c r="U19" s="455"/>
      <c r="V19" s="457"/>
      <c r="X19" s="479"/>
      <c r="Y19" s="159" t="s">
        <v>80</v>
      </c>
      <c r="Z19" s="168">
        <f>IF(ISBLANK(Z20),0,AF20)+IF(ISBLANK(Z21),0,AF21)+IF(ISBLANK(Z22),0,AF22)+IF(ISBLANK(Z23),0,AF23)+IF(ISBLANK(Z24),0,AF24)</f>
        <v>0</v>
      </c>
      <c r="AA19" s="31">
        <f>IF(ISBLANK(AA20),0,AF20)+IF(ISBLANK(AA21),0,AF21)+IF(ISBLANK(AA22),0,AF22)+IF(ISBLANK(AA23),0,AF23)+IF(ISBLANK(AA24),0,AF24)</f>
        <v>0</v>
      </c>
      <c r="AB19" s="31">
        <f>IF(ISBLANK(AB20),0,AF20)+IF(ISBLANK(AB21),0,AF21)+IF(ISBLANK(AB22),0,AF22)+IF(ISBLANK(AB23),0,AF23)+IF(ISBLANK(AB24),0,AF24)</f>
        <v>0</v>
      </c>
      <c r="AC19" s="31">
        <f>IF(ISBLANK(AC20),0,AF20)+IF(ISBLANK(AC21),0,AF21)+IF(ISBLANK(AC22),0,AF22)+IF(ISBLANK(AC23),0,AF23)+IF(ISBLANK(AC24),0,AF24)</f>
        <v>0</v>
      </c>
      <c r="AD19" s="31">
        <f>IF(ISBLANK(AD20),0,AF20)+IF(ISBLANK(AD21),0,AF21)+IF(ISBLANK(AD22),0,AF22)+IF(ISBLANK(AD23),0,AF23)+IF(ISBLANK(AD24),0,AF24)</f>
        <v>0</v>
      </c>
      <c r="AE19" s="169">
        <f>IF(ISBLANK(AE20),0,AF20)+IF(ISBLANK(AE21),0,AF21)+IF(ISBLANK(AE22),0,AF22)+IF(ISBLANK(AE23),0,AF23)+IF(ISBLANK(AE24),0,AF24)</f>
        <v>0</v>
      </c>
      <c r="AF19" s="455"/>
      <c r="AG19" s="457"/>
      <c r="AI19" s="479"/>
      <c r="AJ19" s="159" t="s">
        <v>80</v>
      </c>
      <c r="AK19" s="168">
        <f>IF(ISBLANK(AK20),0,AQ20)+IF(ISBLANK(AK21),0,AQ21)+IF(ISBLANK(AK22),0,AQ22)+IF(ISBLANK(AK23),0,AQ23)+IF(ISBLANK(AK24),0,AQ24)</f>
        <v>0</v>
      </c>
      <c r="AL19" s="31">
        <f>IF(ISBLANK(AL20),0,AQ20)+IF(ISBLANK(AL21),0,AQ21)+IF(ISBLANK(AL22),0,AQ22)+IF(ISBLANK(AL23),0,AQ23)+IF(ISBLANK(AL24),0,AQ24)</f>
        <v>0</v>
      </c>
      <c r="AM19" s="31">
        <f>IF(ISBLANK(AM20),0,AQ20)+IF(ISBLANK(AM21),0,AQ21)+IF(ISBLANK(AM22),0,AQ22)+IF(ISBLANK(AM23),0,AQ23)+IF(ISBLANK(AM24),0,AQ24)</f>
        <v>60</v>
      </c>
      <c r="AN19" s="31">
        <f>IF(ISBLANK(AN20),0,AQ20)+IF(ISBLANK(AN21),0,AQ21)+IF(ISBLANK(AN22),0,AQ22)+IF(ISBLANK(AN23),0,AQ23)+IF(ISBLANK(AN24),0,AQ24)</f>
        <v>0</v>
      </c>
      <c r="AO19" s="31">
        <f>IF(ISBLANK(AO20),0,AQ20)+IF(ISBLANK(AO21),0,AQ21)+IF(ISBLANK(AO22),0,AQ22)+IF(ISBLANK(AO23),0,AQ23)+IF(ISBLANK(AO24),0,AQ24)</f>
        <v>0</v>
      </c>
      <c r="AP19" s="169">
        <f>IF(ISBLANK(AP20),0,AQ20)+IF(ISBLANK(AP21),0,AQ21)+IF(ISBLANK(AP22),0,AQ22)+IF(ISBLANK(AP23),0,AQ23)+IF(ISBLANK(AP24),0,AQ24)</f>
        <v>0</v>
      </c>
      <c r="AQ19" s="455"/>
      <c r="AR19" s="457"/>
      <c r="AT19" s="479"/>
      <c r="AU19" s="82"/>
      <c r="AV19" s="208"/>
      <c r="AW19" s="209"/>
      <c r="AX19" s="209"/>
      <c r="AY19" s="209"/>
      <c r="AZ19" s="209"/>
      <c r="BA19" s="210"/>
      <c r="BB19" s="486"/>
      <c r="BC19" s="125"/>
      <c r="BE19" s="479"/>
      <c r="BF19" s="159" t="s">
        <v>80</v>
      </c>
      <c r="BG19" s="168">
        <f>IF(ISBLANK(BG20),0,BM20)+IF(ISBLANK(BG21),0,BM21)+IF(ISBLANK(BG22),0,BM22)+IF(ISBLANK(BG23),0,BM23)+IF(ISBLANK(BG24),0,BM24)</f>
        <v>0</v>
      </c>
      <c r="BH19" s="31">
        <f>IF(ISBLANK(BH20),0,BM20)+IF(ISBLANK(BH21),0,BM21)+IF(ISBLANK(BH22),0,BM22)+IF(ISBLANK(BH23),0,BM23)+IF(ISBLANK(BH24),0,BM24)</f>
        <v>0</v>
      </c>
      <c r="BI19" s="31">
        <f>IF(ISBLANK(BI20),0,BM20)+IF(ISBLANK(BI21),0,BM21)+IF(ISBLANK(BI22),0,BM22)+IF(ISBLANK(BI23),0,BM23)+IF(ISBLANK(BI24),0,BM24)</f>
        <v>35</v>
      </c>
      <c r="BJ19" s="31">
        <f>IF(ISBLANK(BJ20),0,BM20)+IF(ISBLANK(BJ21),0,BM21)+IF(ISBLANK(BJ22),0,BM22)+IF(ISBLANK(BJ23),0,BM23)+IF(ISBLANK(BJ24),0,BM24)</f>
        <v>0</v>
      </c>
      <c r="BK19" s="31">
        <f>IF(ISBLANK(BK20),0,BM20)+IF(ISBLANK(BK21),0,BM21)+IF(ISBLANK(BK22),0,BM22)+IF(ISBLANK(BK23),0,BM23)+IF(ISBLANK(BK24),0,BM24)</f>
        <v>0</v>
      </c>
      <c r="BL19" s="169">
        <f>IF(ISBLANK(BL20),0,BM20)+IF(ISBLANK(BL21),0,BM21)+IF(ISBLANK(BL22),0,BM22)+IF(ISBLANK(BL23),0,BM23)+IF(ISBLANK(BL24),0,BM24)</f>
        <v>0</v>
      </c>
      <c r="BM19" s="455"/>
      <c r="BN19" s="457"/>
      <c r="BP19" s="479"/>
      <c r="BQ19" s="159" t="s">
        <v>80</v>
      </c>
      <c r="BR19" s="168">
        <f>IF(ISBLANK(BR20),0,BX20)+IF(ISBLANK(BR21),0,BX21)+IF(ISBLANK(BR22),0,BX22)+IF(ISBLANK(BR23),0,BX23)+IF(ISBLANK(BR24),0,BX24)</f>
        <v>0</v>
      </c>
      <c r="BS19" s="31">
        <f>IF(ISBLANK(BS20),0,BX20)+IF(ISBLANK(BS21),0,BX21)+IF(ISBLANK(BS22),0,BX22)+IF(ISBLANK(BS23),0,BX23)+IF(ISBLANK(BS24),0,BX24)</f>
        <v>0</v>
      </c>
      <c r="BT19" s="31">
        <f>IF(ISBLANK(BT20),0,BX20)+IF(ISBLANK(BT21),0,BX21)+IF(ISBLANK(BT22),0,BX22)+IF(ISBLANK(BT23),0,BX23)+IF(ISBLANK(BT24),0,BX24)</f>
        <v>0</v>
      </c>
      <c r="BU19" s="31">
        <f>IF(ISBLANK(BU20),0,BX20)+IF(ISBLANK(BU21),0,BX21)+IF(ISBLANK(BU22),0,BX22)+IF(ISBLANK(BU23),0,BX23)+IF(ISBLANK(BU24),0,BX24)</f>
        <v>0</v>
      </c>
      <c r="BV19" s="31">
        <f>IF(ISBLANK(BV20),0,BX20)+IF(ISBLANK(BV21),0,BX21)+IF(ISBLANK(BV22),0,BX22)+IF(ISBLANK(BV23),0,BX23)+IF(ISBLANK(BV24),0,BX24)</f>
        <v>0</v>
      </c>
      <c r="BW19" s="169">
        <f>IF(ISBLANK(BW20),0,BX20)+IF(ISBLANK(BW21),0,BX21)+IF(ISBLANK(BW22),0,BX22)+IF(ISBLANK(BW23),0,BX23)+IF(ISBLANK(BW24),0,BX24)</f>
        <v>0</v>
      </c>
      <c r="BX19" s="455"/>
      <c r="BY19" s="457"/>
      <c r="CA19" s="479"/>
      <c r="CB19" s="82"/>
      <c r="CC19" s="208"/>
      <c r="CD19" s="209"/>
      <c r="CE19" s="209"/>
      <c r="CF19" s="209"/>
      <c r="CG19" s="209"/>
      <c r="CH19" s="210"/>
      <c r="CI19" s="486"/>
      <c r="CJ19" s="125"/>
      <c r="CL19" s="479"/>
      <c r="CM19" s="159" t="s">
        <v>80</v>
      </c>
      <c r="CN19" s="168">
        <f>IF(ISBLANK(CN20),0,CT20)+IF(ISBLANK(CN21),0,CT21)+IF(ISBLANK(CN22),0,CT22)+IF(ISBLANK(CN23),0,CT23)+IF(ISBLANK(CN24),0,CT24)</f>
        <v>30</v>
      </c>
      <c r="CO19" s="31">
        <f>IF(ISBLANK(CO20),0,CT20)+IF(ISBLANK(CO21),0,CT21)+IF(ISBLANK(CO22),0,CT22)+IF(ISBLANK(CO23),0,CT23)+IF(ISBLANK(CO24),0,CT24)</f>
        <v>30</v>
      </c>
      <c r="CP19" s="31">
        <f>IF(ISBLANK(CP20),0,CT20)+IF(ISBLANK(CP21),0,CT21)+IF(ISBLANK(CP22),0,CT22)+IF(ISBLANK(CP23),0,CT23)+IF(ISBLANK(CP24),0,CT24)</f>
        <v>30</v>
      </c>
      <c r="CQ19" s="31">
        <f>IF(ISBLANK(CQ20),0,CT20)+IF(ISBLANK(CQ21),0,CT21)+IF(ISBLANK(CQ22),0,CT22)+IF(ISBLANK(CQ23),0,CT23)+IF(ISBLANK(CQ24),0,CT24)</f>
        <v>0</v>
      </c>
      <c r="CR19" s="31">
        <f>IF(ISBLANK(CR20),0,CT20)+IF(ISBLANK(CR21),0,CT21)+IF(ISBLANK(CR22),0,CT22)+IF(ISBLANK(CR23),0,CT23)+IF(ISBLANK(CR24),0,CT24)</f>
        <v>0</v>
      </c>
      <c r="CS19" s="169">
        <f>IF(ISBLANK(CS20),0,CT20)+IF(ISBLANK(CS21),0,CT21)+IF(ISBLANK(CS22),0,CT22)+IF(ISBLANK(CS23),0,CT23)+IF(ISBLANK(CS24),0,CT24)</f>
        <v>0</v>
      </c>
      <c r="CT19" s="455"/>
      <c r="CU19" s="457"/>
      <c r="CW19" s="479"/>
      <c r="CX19" s="82"/>
      <c r="CY19" s="208"/>
      <c r="CZ19" s="209"/>
      <c r="DA19" s="209"/>
      <c r="DB19" s="209"/>
      <c r="DC19" s="209"/>
      <c r="DD19" s="210"/>
      <c r="DE19" s="486"/>
      <c r="DF19" s="125"/>
      <c r="DH19" s="479"/>
      <c r="DI19" s="159" t="s">
        <v>80</v>
      </c>
      <c r="DJ19" s="168">
        <f>IF(ISBLANK(DJ20),0,DP20)+IF(ISBLANK(DJ21),0,DP21)+IF(ISBLANK(DJ22),0,DP22)+IF(ISBLANK(DJ23),0,DP23)+IF(ISBLANK(DJ24),0,DP24)</f>
        <v>30</v>
      </c>
      <c r="DK19" s="31">
        <f>IF(ISBLANK(DK20),0,DP20)+IF(ISBLANK(DK21),0,DP21)+IF(ISBLANK(DK22),0,DP22)+IF(ISBLANK(DK23),0,DP23)+IF(ISBLANK(DK24),0,DP24)</f>
        <v>60</v>
      </c>
      <c r="DL19" s="31">
        <f>IF(ISBLANK(DL20),0,DP20)+IF(ISBLANK(DL21),0,DP21)+IF(ISBLANK(DL22),0,DP22)+IF(ISBLANK(DL23),0,DP23)+IF(ISBLANK(DL24),0,DP24)</f>
        <v>30</v>
      </c>
      <c r="DM19" s="31">
        <f>IF(ISBLANK(DM20),0,DP20)+IF(ISBLANK(DM21),0,DP21)+IF(ISBLANK(DM22),0,DP22)+IF(ISBLANK(DM23),0,DP23)+IF(ISBLANK(DM24),0,DP24)</f>
        <v>0</v>
      </c>
      <c r="DN19" s="31">
        <f>IF(ISBLANK(DN20),0,DP20)+IF(ISBLANK(DN21),0,DP21)+IF(ISBLANK(DN22),0,DP22)+IF(ISBLANK(DN23),0,DP23)+IF(ISBLANK(DN24),0,DP24)</f>
        <v>0</v>
      </c>
      <c r="DO19" s="169">
        <f>IF(ISBLANK(DO20),0,DP20)+IF(ISBLANK(DO21),0,DP21)+IF(ISBLANK(DO22),0,DP22)+IF(ISBLANK(DO23),0,DP23)+IF(ISBLANK(DO24),0,DP24)</f>
        <v>0</v>
      </c>
      <c r="DP19" s="512"/>
      <c r="DQ19" s="492"/>
      <c r="DS19" s="479"/>
      <c r="DT19" s="82"/>
      <c r="DU19" s="208"/>
      <c r="DV19" s="209"/>
      <c r="DW19" s="209"/>
      <c r="DX19" s="209"/>
      <c r="DY19" s="209"/>
      <c r="DZ19" s="210"/>
      <c r="EA19" s="492"/>
      <c r="EB19" s="125"/>
      <c r="ED19" s="479"/>
      <c r="EE19" s="159" t="s">
        <v>80</v>
      </c>
      <c r="EF19" s="168">
        <f>IF(ISBLANK(EF20),0,EL20)+IF(ISBLANK(EF21),0,EL21)+IF(ISBLANK(EF22),0,EL22)+IF(ISBLANK(EF23),0,EL23)+IF(ISBLANK(EF24),0,EL24)</f>
        <v>30</v>
      </c>
      <c r="EG19" s="31">
        <f>IF(ISBLANK(EG20),0,EL20)+IF(ISBLANK(EG21),0,EL21)+IF(ISBLANK(EG22),0,EL22)+IF(ISBLANK(EG23),0,EL23)+IF(ISBLANK(EG24),0,EL24)</f>
        <v>60</v>
      </c>
      <c r="EH19" s="31">
        <f>IF(ISBLANK(EH20),0,EL20)+IF(ISBLANK(EH21),0,EL21)+IF(ISBLANK(EH22),0,EL22)+IF(ISBLANK(EH23),0,EL23)+IF(ISBLANK(EH24),0,EL24)</f>
        <v>30</v>
      </c>
      <c r="EI19" s="31">
        <f>IF(ISBLANK(EI20),0,EL20)+IF(ISBLANK(EI21),0,EL21)+IF(ISBLANK(EI22),0,EL22)+IF(ISBLANK(EI23),0,EL23)+IF(ISBLANK(EI24),0,EL24)</f>
        <v>0</v>
      </c>
      <c r="EJ19" s="31">
        <f>IF(ISBLANK(EJ20),0,EL20)+IF(ISBLANK(EJ21),0,EL21)+IF(ISBLANK(EJ22),0,EL22)+IF(ISBLANK(EJ23),0,EL23)+IF(ISBLANK(EJ24),0,EL24)</f>
        <v>0</v>
      </c>
      <c r="EK19" s="169">
        <f>IF(ISBLANK(EK20),0,EL20)+IF(ISBLANK(EK21),0,EL21)+IF(ISBLANK(EK22),0,EL22)+IF(ISBLANK(EK23),0,EL23)+IF(ISBLANK(EK24),0,EL24)</f>
        <v>0</v>
      </c>
      <c r="EL19" s="512"/>
      <c r="EM19" s="492"/>
      <c r="EO19" s="479"/>
      <c r="EP19" s="82"/>
      <c r="EQ19" s="208"/>
      <c r="ER19" s="209"/>
      <c r="ES19" s="209"/>
      <c r="ET19" s="209"/>
      <c r="EU19" s="209"/>
      <c r="EV19" s="210"/>
      <c r="EW19" s="492"/>
      <c r="EX19" s="125"/>
      <c r="EZ19" s="479"/>
      <c r="FA19" s="159" t="s">
        <v>80</v>
      </c>
      <c r="FB19" s="168">
        <f>IF(ISBLANK(FB20),0,FH20)+IF(ISBLANK(FB21),0,FH21)+IF(ISBLANK(FB22),0,FH22)+IF(ISBLANK(FB23),0,FH23)+IF(ISBLANK(FB24),0,FH24)</f>
        <v>0</v>
      </c>
      <c r="FC19" s="31">
        <f>IF(ISBLANK(FC20),0,FH20)+IF(ISBLANK(FC21),0,FH21)+IF(ISBLANK(FC22),0,FH22)+IF(ISBLANK(FC23),0,FH23)+IF(ISBLANK(FC24),0,FH24)</f>
        <v>0</v>
      </c>
      <c r="FD19" s="31">
        <f>IF(ISBLANK(FD20),0,FH20)+IF(ISBLANK(FD21),0,FH21)+IF(ISBLANK(FD22),0,FH22)+IF(ISBLANK(FD23),0,FH23)+IF(ISBLANK(FD24),0,FH24)</f>
        <v>0</v>
      </c>
      <c r="FE19" s="31">
        <f>IF(ISBLANK(FE20),0,FH20)+IF(ISBLANK(FE21),0,FH21)+IF(ISBLANK(FE22),0,FH22)+IF(ISBLANK(FE23),0,FH23)+IF(ISBLANK(FE24),0,FH24)</f>
        <v>0</v>
      </c>
      <c r="FF19" s="31">
        <f>IF(ISBLANK(FF20),0,FH20)+IF(ISBLANK(FF21),0,FH21)+IF(ISBLANK(FF22),0,FH22)+IF(ISBLANK(FF23),0,FH23)+IF(ISBLANK(FF24),0,FH24)</f>
        <v>0</v>
      </c>
      <c r="FG19" s="169">
        <f>IF(ISBLANK(FG20),0,FH20)+IF(ISBLANK(FG21),0,FH21)+IF(ISBLANK(FG22),0,FH22)+IF(ISBLANK(FG23),0,FH23)+IF(ISBLANK(FG24),0,FH24)</f>
        <v>0</v>
      </c>
      <c r="FH19" s="512"/>
      <c r="FI19" s="492"/>
      <c r="FK19" s="510"/>
      <c r="FL19" s="138" t="s">
        <v>72</v>
      </c>
      <c r="FM19" s="144">
        <f aca="true" t="shared" si="103" ref="FM19:FR19">SUM(FM20:FM24)</f>
        <v>110</v>
      </c>
      <c r="FN19" s="139">
        <f t="shared" si="103"/>
        <v>310</v>
      </c>
      <c r="FO19" s="139">
        <f t="shared" si="103"/>
        <v>280</v>
      </c>
      <c r="FP19" s="139">
        <f>SUM(FP20:FP24)</f>
        <v>0</v>
      </c>
      <c r="FQ19" s="139">
        <f t="shared" si="103"/>
        <v>0</v>
      </c>
      <c r="FR19" s="140">
        <f t="shared" si="103"/>
        <v>0</v>
      </c>
      <c r="FS19" s="545"/>
      <c r="FT19" s="492"/>
    </row>
    <row r="20" spans="2:176" ht="13.5" hidden="1">
      <c r="B20" s="479"/>
      <c r="C20" s="223" t="s">
        <v>39</v>
      </c>
      <c r="D20" s="195">
        <f>IF(O20="○",O20,"")</f>
      </c>
      <c r="E20" s="202">
        <f>IF(P20="○",P20,"")</f>
      </c>
      <c r="F20" s="202">
        <f>IF(Q20="○",Q20,"")</f>
      </c>
      <c r="G20" s="202">
        <f>IF(R20="○",R20,"")</f>
      </c>
      <c r="H20" s="202">
        <f>IF(S20="○",S20,"")</f>
      </c>
      <c r="I20" s="203">
        <f>IF(T20="○",T20,"")</f>
      </c>
      <c r="J20" s="155">
        <v>100</v>
      </c>
      <c r="K20" s="107"/>
      <c r="M20" s="479"/>
      <c r="N20" s="163" t="s">
        <v>39</v>
      </c>
      <c r="O20" s="170"/>
      <c r="P20" s="112"/>
      <c r="Q20" s="112"/>
      <c r="R20" s="112"/>
      <c r="S20" s="112"/>
      <c r="T20" s="113"/>
      <c r="U20" s="97"/>
      <c r="V20" s="155">
        <v>100</v>
      </c>
      <c r="X20" s="479"/>
      <c r="Y20" s="163" t="s">
        <v>39</v>
      </c>
      <c r="Z20" s="170"/>
      <c r="AA20" s="112"/>
      <c r="AB20" s="112"/>
      <c r="AC20" s="112"/>
      <c r="AD20" s="112"/>
      <c r="AE20" s="113"/>
      <c r="AF20" s="97"/>
      <c r="AG20" s="155">
        <v>100</v>
      </c>
      <c r="AI20" s="479"/>
      <c r="AJ20" s="163" t="s">
        <v>39</v>
      </c>
      <c r="AK20" s="170"/>
      <c r="AL20" s="112"/>
      <c r="AM20" s="112"/>
      <c r="AN20" s="112"/>
      <c r="AO20" s="112"/>
      <c r="AP20" s="113"/>
      <c r="AQ20" s="97"/>
      <c r="AR20" s="155">
        <v>100</v>
      </c>
      <c r="AT20" s="479"/>
      <c r="AU20" s="223" t="s">
        <v>39</v>
      </c>
      <c r="AV20" s="195">
        <f aca="true" t="shared" si="104" ref="AV20:BA24">IF(BG20="○",BG20,"")</f>
      </c>
      <c r="AW20" s="202">
        <f t="shared" si="104"/>
      </c>
      <c r="AX20" s="202">
        <f t="shared" si="104"/>
      </c>
      <c r="AY20" s="202">
        <f t="shared" si="104"/>
      </c>
      <c r="AZ20" s="202">
        <f t="shared" si="104"/>
      </c>
      <c r="BA20" s="203">
        <f t="shared" si="104"/>
      </c>
      <c r="BB20" s="155">
        <v>100</v>
      </c>
      <c r="BC20" s="107"/>
      <c r="BE20" s="479"/>
      <c r="BF20" s="163" t="s">
        <v>39</v>
      </c>
      <c r="BG20" s="170"/>
      <c r="BH20" s="112"/>
      <c r="BI20" s="112"/>
      <c r="BJ20" s="112"/>
      <c r="BK20" s="112"/>
      <c r="BL20" s="113"/>
      <c r="BM20" s="97"/>
      <c r="BN20" s="155">
        <v>100</v>
      </c>
      <c r="BP20" s="479"/>
      <c r="BQ20" s="163" t="s">
        <v>39</v>
      </c>
      <c r="BR20" s="170"/>
      <c r="BS20" s="112"/>
      <c r="BT20" s="112"/>
      <c r="BU20" s="112"/>
      <c r="BV20" s="112"/>
      <c r="BW20" s="113"/>
      <c r="BX20" s="97"/>
      <c r="BY20" s="155">
        <v>100</v>
      </c>
      <c r="CA20" s="479"/>
      <c r="CB20" s="223" t="s">
        <v>39</v>
      </c>
      <c r="CC20" s="195">
        <f aca="true" t="shared" si="105" ref="CC20:CH24">IF(CN20="○",CN20,"")</f>
      </c>
      <c r="CD20" s="202">
        <f t="shared" si="105"/>
      </c>
      <c r="CE20" s="202">
        <f t="shared" si="105"/>
      </c>
      <c r="CF20" s="202">
        <f t="shared" si="105"/>
      </c>
      <c r="CG20" s="202">
        <f t="shared" si="105"/>
      </c>
      <c r="CH20" s="203">
        <f t="shared" si="105"/>
      </c>
      <c r="CI20" s="155">
        <v>100</v>
      </c>
      <c r="CJ20" s="107"/>
      <c r="CL20" s="479"/>
      <c r="CM20" s="163" t="s">
        <v>39</v>
      </c>
      <c r="CN20" s="170" t="s">
        <v>205</v>
      </c>
      <c r="CO20" s="112"/>
      <c r="CP20" s="112"/>
      <c r="CQ20" s="112"/>
      <c r="CR20" s="112"/>
      <c r="CS20" s="113"/>
      <c r="CT20" s="97">
        <v>30</v>
      </c>
      <c r="CU20" s="155">
        <v>100</v>
      </c>
      <c r="CW20" s="479"/>
      <c r="CX20" s="223" t="s">
        <v>39</v>
      </c>
      <c r="CY20" s="195" t="str">
        <f aca="true" t="shared" si="106" ref="CY20:DD24">IF(DJ20="○",DJ20,"")</f>
        <v>○</v>
      </c>
      <c r="CZ20" s="202">
        <f t="shared" si="106"/>
      </c>
      <c r="DA20" s="202">
        <f t="shared" si="106"/>
      </c>
      <c r="DB20" s="202">
        <f t="shared" si="106"/>
      </c>
      <c r="DC20" s="202">
        <f t="shared" si="106"/>
      </c>
      <c r="DD20" s="203">
        <f t="shared" si="106"/>
      </c>
      <c r="DE20" s="155">
        <v>100</v>
      </c>
      <c r="DF20" s="107"/>
      <c r="DH20" s="479"/>
      <c r="DI20" s="163" t="s">
        <v>39</v>
      </c>
      <c r="DJ20" s="170" t="s">
        <v>77</v>
      </c>
      <c r="DK20" s="112"/>
      <c r="DL20" s="112"/>
      <c r="DM20" s="112"/>
      <c r="DN20" s="112"/>
      <c r="DO20" s="113"/>
      <c r="DP20" s="97">
        <v>30</v>
      </c>
      <c r="DQ20" s="155">
        <v>100</v>
      </c>
      <c r="DS20" s="479"/>
      <c r="DT20" s="223" t="s">
        <v>39</v>
      </c>
      <c r="DU20" s="195" t="str">
        <f aca="true" t="shared" si="107" ref="DU20:DZ24">IF(EF20="○",EF20,"")</f>
        <v>○</v>
      </c>
      <c r="DV20" s="202">
        <f t="shared" si="107"/>
      </c>
      <c r="DW20" s="202">
        <f t="shared" si="107"/>
      </c>
      <c r="DX20" s="202">
        <f t="shared" si="107"/>
      </c>
      <c r="DY20" s="202">
        <f t="shared" si="107"/>
      </c>
      <c r="DZ20" s="203">
        <f t="shared" si="107"/>
      </c>
      <c r="EA20" s="155">
        <v>100</v>
      </c>
      <c r="EB20" s="107"/>
      <c r="ED20" s="479"/>
      <c r="EE20" s="163" t="s">
        <v>39</v>
      </c>
      <c r="EF20" s="170" t="s">
        <v>77</v>
      </c>
      <c r="EG20" s="112"/>
      <c r="EH20" s="112"/>
      <c r="EI20" s="112"/>
      <c r="EJ20" s="112"/>
      <c r="EK20" s="113"/>
      <c r="EL20" s="97">
        <v>30</v>
      </c>
      <c r="EM20" s="155">
        <v>100</v>
      </c>
      <c r="EO20" s="479"/>
      <c r="EP20" s="223" t="s">
        <v>39</v>
      </c>
      <c r="EQ20" s="195" t="str">
        <f aca="true" t="shared" si="108" ref="EQ20:ET24">IF(FB20="○",FB20,"")</f>
        <v>○</v>
      </c>
      <c r="ER20" s="202">
        <f t="shared" si="108"/>
      </c>
      <c r="ES20" s="202">
        <f t="shared" si="108"/>
      </c>
      <c r="ET20" s="202">
        <f t="shared" si="108"/>
      </c>
      <c r="EU20" s="202">
        <f aca="true" t="shared" si="109" ref="EU20:EV24">IF(FF20="○",FF20,"")</f>
      </c>
      <c r="EV20" s="203">
        <f t="shared" si="109"/>
      </c>
      <c r="EW20" s="155">
        <v>100</v>
      </c>
      <c r="EX20" s="107"/>
      <c r="EZ20" s="479"/>
      <c r="FA20" s="163" t="s">
        <v>39</v>
      </c>
      <c r="FB20" s="170" t="s">
        <v>77</v>
      </c>
      <c r="FC20" s="112"/>
      <c r="FD20" s="112"/>
      <c r="FE20" s="112"/>
      <c r="FF20" s="112"/>
      <c r="FG20" s="113"/>
      <c r="FH20" s="97">
        <v>0</v>
      </c>
      <c r="FI20" s="155">
        <v>100</v>
      </c>
      <c r="FK20" s="510"/>
      <c r="FL20" s="42" t="s">
        <v>39</v>
      </c>
      <c r="FM20" s="97">
        <v>110</v>
      </c>
      <c r="FN20" s="89"/>
      <c r="FO20" s="89"/>
      <c r="FP20" s="89"/>
      <c r="FQ20" s="89"/>
      <c r="FR20" s="90"/>
      <c r="FS20" s="150">
        <f>MAX(FM20:FR20)</f>
        <v>110</v>
      </c>
      <c r="FT20" s="79">
        <v>100</v>
      </c>
    </row>
    <row r="21" spans="2:176" ht="13.5" hidden="1">
      <c r="B21" s="479"/>
      <c r="C21" s="221" t="s">
        <v>40</v>
      </c>
      <c r="D21" s="197">
        <f>IF(O21="○",O21,"")</f>
      </c>
      <c r="E21" s="204">
        <f>IF(P21="○",P21,"")</f>
      </c>
      <c r="F21" s="204">
        <f>IF(Q21="○",Q21,"")</f>
      </c>
      <c r="G21" s="204">
        <f>IF(R21="○",R21,"")</f>
      </c>
      <c r="H21" s="204">
        <f>IF(S21="○",S21,"")</f>
      </c>
      <c r="I21" s="205">
        <f>IF(T21="○",T21,"")</f>
      </c>
      <c r="J21" s="156">
        <v>200</v>
      </c>
      <c r="K21" s="107"/>
      <c r="M21" s="479"/>
      <c r="N21" s="160" t="s">
        <v>40</v>
      </c>
      <c r="O21" s="171"/>
      <c r="P21" s="100"/>
      <c r="Q21" s="100"/>
      <c r="R21" s="100"/>
      <c r="S21" s="100"/>
      <c r="T21" s="101"/>
      <c r="U21" s="98"/>
      <c r="V21" s="156">
        <v>200</v>
      </c>
      <c r="X21" s="479"/>
      <c r="Y21" s="160" t="s">
        <v>40</v>
      </c>
      <c r="Z21" s="171"/>
      <c r="AA21" s="100"/>
      <c r="AB21" s="100"/>
      <c r="AC21" s="100"/>
      <c r="AD21" s="100"/>
      <c r="AE21" s="101"/>
      <c r="AF21" s="98"/>
      <c r="AG21" s="156">
        <v>200</v>
      </c>
      <c r="AI21" s="479"/>
      <c r="AJ21" s="160" t="s">
        <v>40</v>
      </c>
      <c r="AK21" s="171"/>
      <c r="AL21" s="100"/>
      <c r="AM21" s="100"/>
      <c r="AN21" s="100"/>
      <c r="AO21" s="100"/>
      <c r="AP21" s="101"/>
      <c r="AQ21" s="98"/>
      <c r="AR21" s="156">
        <v>200</v>
      </c>
      <c r="AT21" s="479"/>
      <c r="AU21" s="221" t="s">
        <v>40</v>
      </c>
      <c r="AV21" s="197">
        <f t="shared" si="104"/>
      </c>
      <c r="AW21" s="204">
        <f t="shared" si="104"/>
      </c>
      <c r="AX21" s="204">
        <f t="shared" si="104"/>
      </c>
      <c r="AY21" s="204">
        <f t="shared" si="104"/>
      </c>
      <c r="AZ21" s="204">
        <f t="shared" si="104"/>
      </c>
      <c r="BA21" s="205">
        <f t="shared" si="104"/>
      </c>
      <c r="BB21" s="156">
        <v>200</v>
      </c>
      <c r="BC21" s="107"/>
      <c r="BE21" s="479"/>
      <c r="BF21" s="160" t="s">
        <v>40</v>
      </c>
      <c r="BG21" s="171"/>
      <c r="BH21" s="100"/>
      <c r="BI21" s="100"/>
      <c r="BJ21" s="100"/>
      <c r="BK21" s="100"/>
      <c r="BL21" s="101"/>
      <c r="BM21" s="98"/>
      <c r="BN21" s="156">
        <v>200</v>
      </c>
      <c r="BP21" s="479"/>
      <c r="BQ21" s="160" t="s">
        <v>40</v>
      </c>
      <c r="BR21" s="171"/>
      <c r="BS21" s="100"/>
      <c r="BT21" s="100"/>
      <c r="BU21" s="100"/>
      <c r="BV21" s="100"/>
      <c r="BW21" s="101"/>
      <c r="BX21" s="98"/>
      <c r="BY21" s="156">
        <v>200</v>
      </c>
      <c r="CA21" s="479"/>
      <c r="CB21" s="221" t="s">
        <v>40</v>
      </c>
      <c r="CC21" s="197">
        <f t="shared" si="105"/>
      </c>
      <c r="CD21" s="204">
        <f t="shared" si="105"/>
      </c>
      <c r="CE21" s="204">
        <f t="shared" si="105"/>
      </c>
      <c r="CF21" s="204">
        <f t="shared" si="105"/>
      </c>
      <c r="CG21" s="204">
        <f t="shared" si="105"/>
      </c>
      <c r="CH21" s="205">
        <f t="shared" si="105"/>
      </c>
      <c r="CI21" s="156">
        <v>200</v>
      </c>
      <c r="CJ21" s="107"/>
      <c r="CL21" s="479"/>
      <c r="CM21" s="160" t="s">
        <v>40</v>
      </c>
      <c r="CN21" s="171"/>
      <c r="CO21" s="100" t="s">
        <v>204</v>
      </c>
      <c r="CP21" s="100"/>
      <c r="CQ21" s="100"/>
      <c r="CR21" s="100"/>
      <c r="CS21" s="101"/>
      <c r="CT21" s="98">
        <v>30</v>
      </c>
      <c r="CU21" s="156">
        <v>200</v>
      </c>
      <c r="CW21" s="479"/>
      <c r="CX21" s="221" t="s">
        <v>40</v>
      </c>
      <c r="CY21" s="197">
        <f t="shared" si="106"/>
      </c>
      <c r="CZ21" s="204" t="str">
        <f t="shared" si="106"/>
        <v>○</v>
      </c>
      <c r="DA21" s="204">
        <f t="shared" si="106"/>
      </c>
      <c r="DB21" s="204">
        <f t="shared" si="106"/>
      </c>
      <c r="DC21" s="204">
        <f t="shared" si="106"/>
      </c>
      <c r="DD21" s="205">
        <f t="shared" si="106"/>
      </c>
      <c r="DE21" s="156">
        <v>200</v>
      </c>
      <c r="DF21" s="107"/>
      <c r="DH21" s="479"/>
      <c r="DI21" s="160" t="s">
        <v>40</v>
      </c>
      <c r="DJ21" s="171"/>
      <c r="DK21" s="100" t="s">
        <v>77</v>
      </c>
      <c r="DL21" s="100"/>
      <c r="DM21" s="100"/>
      <c r="DN21" s="100"/>
      <c r="DO21" s="101"/>
      <c r="DP21" s="98">
        <v>30</v>
      </c>
      <c r="DQ21" s="156">
        <v>200</v>
      </c>
      <c r="DS21" s="479"/>
      <c r="DT21" s="221" t="s">
        <v>40</v>
      </c>
      <c r="DU21" s="197">
        <f t="shared" si="107"/>
      </c>
      <c r="DV21" s="204" t="str">
        <f t="shared" si="107"/>
        <v>○</v>
      </c>
      <c r="DW21" s="204">
        <f t="shared" si="107"/>
      </c>
      <c r="DX21" s="204">
        <f t="shared" si="107"/>
      </c>
      <c r="DY21" s="204">
        <f t="shared" si="107"/>
      </c>
      <c r="DZ21" s="205">
        <f t="shared" si="107"/>
      </c>
      <c r="EA21" s="156">
        <v>200</v>
      </c>
      <c r="EB21" s="107"/>
      <c r="ED21" s="479"/>
      <c r="EE21" s="160" t="s">
        <v>40</v>
      </c>
      <c r="EF21" s="171"/>
      <c r="EG21" s="100" t="s">
        <v>77</v>
      </c>
      <c r="EH21" s="100"/>
      <c r="EI21" s="100"/>
      <c r="EJ21" s="100"/>
      <c r="EK21" s="101"/>
      <c r="EL21" s="98">
        <v>30</v>
      </c>
      <c r="EM21" s="156">
        <v>200</v>
      </c>
      <c r="EO21" s="479"/>
      <c r="EP21" s="221" t="s">
        <v>40</v>
      </c>
      <c r="EQ21" s="197">
        <f t="shared" si="108"/>
      </c>
      <c r="ER21" s="204" t="str">
        <f t="shared" si="108"/>
        <v>○</v>
      </c>
      <c r="ES21" s="204">
        <f t="shared" si="108"/>
      </c>
      <c r="ET21" s="204">
        <f t="shared" si="108"/>
      </c>
      <c r="EU21" s="204">
        <f t="shared" si="109"/>
      </c>
      <c r="EV21" s="205">
        <f t="shared" si="109"/>
      </c>
      <c r="EW21" s="156">
        <v>200</v>
      </c>
      <c r="EX21" s="107"/>
      <c r="EZ21" s="479"/>
      <c r="FA21" s="160" t="s">
        <v>40</v>
      </c>
      <c r="FB21" s="171"/>
      <c r="FC21" s="100" t="s">
        <v>77</v>
      </c>
      <c r="FD21" s="100"/>
      <c r="FE21" s="100"/>
      <c r="FF21" s="100"/>
      <c r="FG21" s="101"/>
      <c r="FH21" s="98">
        <v>0</v>
      </c>
      <c r="FI21" s="156">
        <v>200</v>
      </c>
      <c r="FK21" s="510"/>
      <c r="FL21" s="43" t="s">
        <v>40</v>
      </c>
      <c r="FM21" s="98"/>
      <c r="FN21" s="92">
        <v>205</v>
      </c>
      <c r="FO21" s="92"/>
      <c r="FP21" s="92"/>
      <c r="FQ21" s="92"/>
      <c r="FR21" s="93"/>
      <c r="FS21" s="151">
        <f>MAX(FM21:FR21)</f>
        <v>205</v>
      </c>
      <c r="FT21" s="80">
        <v>200</v>
      </c>
    </row>
    <row r="22" spans="2:176" ht="13.5" hidden="1">
      <c r="B22" s="479"/>
      <c r="C22" s="221" t="s">
        <v>41</v>
      </c>
      <c r="D22" s="197">
        <f>IF(O22="○",O22,"")</f>
      </c>
      <c r="E22" s="204">
        <f>IF(P22="○",P22,"")</f>
      </c>
      <c r="F22" s="204">
        <f>IF(Q22="○",Q22,"")</f>
      </c>
      <c r="G22" s="204">
        <f>IF(R22="○",R22,"")</f>
      </c>
      <c r="H22" s="204">
        <f>IF(S22="○",S22,"")</f>
      </c>
      <c r="I22" s="205">
        <f>IF(T22="○",T22,"")</f>
      </c>
      <c r="J22" s="156">
        <v>100</v>
      </c>
      <c r="K22" s="107"/>
      <c r="M22" s="479"/>
      <c r="N22" s="160" t="s">
        <v>41</v>
      </c>
      <c r="O22" s="171"/>
      <c r="P22" s="100"/>
      <c r="Q22" s="100"/>
      <c r="R22" s="100"/>
      <c r="S22" s="100"/>
      <c r="T22" s="101"/>
      <c r="U22" s="98"/>
      <c r="V22" s="156">
        <v>100</v>
      </c>
      <c r="X22" s="479"/>
      <c r="Y22" s="160" t="s">
        <v>41</v>
      </c>
      <c r="Z22" s="171"/>
      <c r="AA22" s="100"/>
      <c r="AB22" s="100"/>
      <c r="AC22" s="100"/>
      <c r="AD22" s="100"/>
      <c r="AE22" s="101"/>
      <c r="AF22" s="98"/>
      <c r="AG22" s="156">
        <v>100</v>
      </c>
      <c r="AI22" s="479"/>
      <c r="AJ22" s="160" t="s">
        <v>41</v>
      </c>
      <c r="AK22" s="171"/>
      <c r="AL22" s="100"/>
      <c r="AM22" s="100"/>
      <c r="AN22" s="100"/>
      <c r="AO22" s="100"/>
      <c r="AP22" s="101"/>
      <c r="AQ22" s="98"/>
      <c r="AR22" s="156">
        <v>100</v>
      </c>
      <c r="AT22" s="479"/>
      <c r="AU22" s="221" t="s">
        <v>41</v>
      </c>
      <c r="AV22" s="197">
        <f t="shared" si="104"/>
      </c>
      <c r="AW22" s="204">
        <f t="shared" si="104"/>
      </c>
      <c r="AX22" s="204">
        <f t="shared" si="104"/>
      </c>
      <c r="AY22" s="204">
        <f t="shared" si="104"/>
      </c>
      <c r="AZ22" s="204">
        <f t="shared" si="104"/>
      </c>
      <c r="BA22" s="205">
        <f t="shared" si="104"/>
      </c>
      <c r="BB22" s="156">
        <v>100</v>
      </c>
      <c r="BC22" s="107"/>
      <c r="BE22" s="479"/>
      <c r="BF22" s="160" t="s">
        <v>41</v>
      </c>
      <c r="BG22" s="171"/>
      <c r="BH22" s="100"/>
      <c r="BI22" s="100"/>
      <c r="BJ22" s="100"/>
      <c r="BK22" s="100"/>
      <c r="BL22" s="101"/>
      <c r="BM22" s="98"/>
      <c r="BN22" s="156">
        <v>100</v>
      </c>
      <c r="BP22" s="479"/>
      <c r="BQ22" s="160" t="s">
        <v>41</v>
      </c>
      <c r="BR22" s="171"/>
      <c r="BS22" s="100"/>
      <c r="BT22" s="100"/>
      <c r="BU22" s="100"/>
      <c r="BV22" s="100"/>
      <c r="BW22" s="101"/>
      <c r="BX22" s="98"/>
      <c r="BY22" s="156">
        <v>100</v>
      </c>
      <c r="CA22" s="479"/>
      <c r="CB22" s="221" t="s">
        <v>41</v>
      </c>
      <c r="CC22" s="197">
        <f t="shared" si="105"/>
      </c>
      <c r="CD22" s="204">
        <f t="shared" si="105"/>
      </c>
      <c r="CE22" s="204">
        <f t="shared" si="105"/>
      </c>
      <c r="CF22" s="204">
        <f t="shared" si="105"/>
      </c>
      <c r="CG22" s="204">
        <f t="shared" si="105"/>
      </c>
      <c r="CH22" s="205">
        <f t="shared" si="105"/>
      </c>
      <c r="CI22" s="156">
        <v>100</v>
      </c>
      <c r="CJ22" s="107"/>
      <c r="CL22" s="479"/>
      <c r="CM22" s="160" t="s">
        <v>41</v>
      </c>
      <c r="CN22" s="171"/>
      <c r="CO22" s="100" t="s">
        <v>204</v>
      </c>
      <c r="CP22" s="100"/>
      <c r="CQ22" s="100"/>
      <c r="CR22" s="100"/>
      <c r="CS22" s="101"/>
      <c r="CT22" s="98">
        <v>0</v>
      </c>
      <c r="CU22" s="156">
        <v>100</v>
      </c>
      <c r="CW22" s="479"/>
      <c r="CX22" s="221" t="s">
        <v>41</v>
      </c>
      <c r="CY22" s="197">
        <f t="shared" si="106"/>
      </c>
      <c r="CZ22" s="204" t="str">
        <f t="shared" si="106"/>
        <v>○</v>
      </c>
      <c r="DA22" s="204">
        <f t="shared" si="106"/>
      </c>
      <c r="DB22" s="204">
        <f t="shared" si="106"/>
      </c>
      <c r="DC22" s="204">
        <f t="shared" si="106"/>
      </c>
      <c r="DD22" s="205">
        <f t="shared" si="106"/>
      </c>
      <c r="DE22" s="156">
        <v>100</v>
      </c>
      <c r="DF22" s="107"/>
      <c r="DH22" s="479"/>
      <c r="DI22" s="160" t="s">
        <v>41</v>
      </c>
      <c r="DJ22" s="171"/>
      <c r="DK22" s="100" t="s">
        <v>77</v>
      </c>
      <c r="DL22" s="100"/>
      <c r="DM22" s="100"/>
      <c r="DN22" s="100"/>
      <c r="DO22" s="101"/>
      <c r="DP22" s="98">
        <v>30</v>
      </c>
      <c r="DQ22" s="156">
        <v>100</v>
      </c>
      <c r="DS22" s="479"/>
      <c r="DT22" s="221" t="s">
        <v>41</v>
      </c>
      <c r="DU22" s="197">
        <f t="shared" si="107"/>
      </c>
      <c r="DV22" s="204" t="str">
        <f t="shared" si="107"/>
        <v>○</v>
      </c>
      <c r="DW22" s="204">
        <f t="shared" si="107"/>
      </c>
      <c r="DX22" s="204">
        <f t="shared" si="107"/>
      </c>
      <c r="DY22" s="204">
        <f t="shared" si="107"/>
      </c>
      <c r="DZ22" s="205">
        <f t="shared" si="107"/>
      </c>
      <c r="EA22" s="156">
        <v>100</v>
      </c>
      <c r="EB22" s="107"/>
      <c r="ED22" s="479"/>
      <c r="EE22" s="160" t="s">
        <v>41</v>
      </c>
      <c r="EF22" s="171"/>
      <c r="EG22" s="100" t="s">
        <v>77</v>
      </c>
      <c r="EH22" s="100"/>
      <c r="EI22" s="100"/>
      <c r="EJ22" s="100"/>
      <c r="EK22" s="101"/>
      <c r="EL22" s="98">
        <v>30</v>
      </c>
      <c r="EM22" s="156">
        <v>100</v>
      </c>
      <c r="EO22" s="479"/>
      <c r="EP22" s="221" t="s">
        <v>41</v>
      </c>
      <c r="EQ22" s="197">
        <f t="shared" si="108"/>
      </c>
      <c r="ER22" s="204" t="str">
        <f t="shared" si="108"/>
        <v>○</v>
      </c>
      <c r="ES22" s="204">
        <f t="shared" si="108"/>
      </c>
      <c r="ET22" s="204">
        <f t="shared" si="108"/>
      </c>
      <c r="EU22" s="204">
        <f t="shared" si="109"/>
      </c>
      <c r="EV22" s="205">
        <f t="shared" si="109"/>
      </c>
      <c r="EW22" s="156">
        <v>100</v>
      </c>
      <c r="EX22" s="107"/>
      <c r="EZ22" s="479"/>
      <c r="FA22" s="160" t="s">
        <v>41</v>
      </c>
      <c r="FB22" s="171"/>
      <c r="FC22" s="100" t="s">
        <v>77</v>
      </c>
      <c r="FD22" s="100"/>
      <c r="FE22" s="100"/>
      <c r="FF22" s="100"/>
      <c r="FG22" s="101"/>
      <c r="FH22" s="98">
        <v>0</v>
      </c>
      <c r="FI22" s="156">
        <v>100</v>
      </c>
      <c r="FK22" s="510"/>
      <c r="FL22" s="43" t="s">
        <v>41</v>
      </c>
      <c r="FM22" s="98"/>
      <c r="FN22" s="92">
        <v>105</v>
      </c>
      <c r="FO22" s="92"/>
      <c r="FP22" s="92"/>
      <c r="FQ22" s="92"/>
      <c r="FR22" s="93"/>
      <c r="FS22" s="151">
        <f>MAX(FM22:FR22)</f>
        <v>105</v>
      </c>
      <c r="FT22" s="80">
        <v>100</v>
      </c>
    </row>
    <row r="23" spans="2:176" ht="13.5" hidden="1">
      <c r="B23" s="479"/>
      <c r="C23" s="221" t="s">
        <v>42</v>
      </c>
      <c r="D23" s="197">
        <f>IF(O23="○",O23,"")</f>
      </c>
      <c r="E23" s="204">
        <f>IF(P23="○",P23,"")</f>
      </c>
      <c r="F23" s="204">
        <f>IF(Q23="○",Q23,"")</f>
      </c>
      <c r="G23" s="204">
        <f>IF(R23="○",R23,"")</f>
      </c>
      <c r="H23" s="204">
        <f>IF(S23="○",S23,"")</f>
      </c>
      <c r="I23" s="205">
        <f>IF(T23="○",T23,"")</f>
      </c>
      <c r="J23" s="156">
        <v>160</v>
      </c>
      <c r="K23" s="107"/>
      <c r="M23" s="479"/>
      <c r="N23" s="160" t="s">
        <v>42</v>
      </c>
      <c r="O23" s="171"/>
      <c r="P23" s="100"/>
      <c r="Q23" s="100"/>
      <c r="R23" s="100"/>
      <c r="S23" s="100"/>
      <c r="T23" s="101"/>
      <c r="U23" s="98"/>
      <c r="V23" s="156">
        <v>160</v>
      </c>
      <c r="X23" s="479"/>
      <c r="Y23" s="160" t="s">
        <v>42</v>
      </c>
      <c r="Z23" s="171"/>
      <c r="AA23" s="100"/>
      <c r="AB23" s="100"/>
      <c r="AC23" s="100"/>
      <c r="AD23" s="100"/>
      <c r="AE23" s="101"/>
      <c r="AF23" s="98"/>
      <c r="AG23" s="156">
        <v>160</v>
      </c>
      <c r="AI23" s="479"/>
      <c r="AJ23" s="160" t="s">
        <v>42</v>
      </c>
      <c r="AK23" s="171"/>
      <c r="AL23" s="100"/>
      <c r="AM23" s="100"/>
      <c r="AN23" s="100"/>
      <c r="AO23" s="100"/>
      <c r="AP23" s="101"/>
      <c r="AQ23" s="98">
        <v>0</v>
      </c>
      <c r="AR23" s="156">
        <v>160</v>
      </c>
      <c r="AT23" s="479"/>
      <c r="AU23" s="221" t="s">
        <v>42</v>
      </c>
      <c r="AV23" s="197">
        <f t="shared" si="104"/>
      </c>
      <c r="AW23" s="204">
        <f t="shared" si="104"/>
      </c>
      <c r="AX23" s="204">
        <f t="shared" si="104"/>
      </c>
      <c r="AY23" s="204">
        <f t="shared" si="104"/>
      </c>
      <c r="AZ23" s="204">
        <f t="shared" si="104"/>
      </c>
      <c r="BA23" s="205">
        <f t="shared" si="104"/>
      </c>
      <c r="BB23" s="156">
        <v>160</v>
      </c>
      <c r="BC23" s="107"/>
      <c r="BE23" s="479"/>
      <c r="BF23" s="160" t="s">
        <v>42</v>
      </c>
      <c r="BG23" s="171"/>
      <c r="BH23" s="100"/>
      <c r="BI23" s="100" t="s">
        <v>205</v>
      </c>
      <c r="BJ23" s="100"/>
      <c r="BK23" s="100"/>
      <c r="BL23" s="101"/>
      <c r="BM23" s="98">
        <v>0</v>
      </c>
      <c r="BN23" s="156">
        <v>160</v>
      </c>
      <c r="BP23" s="479"/>
      <c r="BQ23" s="160" t="s">
        <v>42</v>
      </c>
      <c r="BR23" s="171"/>
      <c r="BS23" s="100"/>
      <c r="BT23" s="100" t="s">
        <v>77</v>
      </c>
      <c r="BU23" s="100"/>
      <c r="BV23" s="100"/>
      <c r="BW23" s="101"/>
      <c r="BX23" s="98">
        <v>0</v>
      </c>
      <c r="BY23" s="156">
        <v>160</v>
      </c>
      <c r="CA23" s="479"/>
      <c r="CB23" s="221" t="s">
        <v>42</v>
      </c>
      <c r="CC23" s="197">
        <f t="shared" si="105"/>
      </c>
      <c r="CD23" s="204">
        <f t="shared" si="105"/>
      </c>
      <c r="CE23" s="204" t="str">
        <f t="shared" si="105"/>
        <v>○</v>
      </c>
      <c r="CF23" s="204">
        <f t="shared" si="105"/>
      </c>
      <c r="CG23" s="204">
        <f t="shared" si="105"/>
      </c>
      <c r="CH23" s="205">
        <f t="shared" si="105"/>
      </c>
      <c r="CI23" s="156">
        <v>160</v>
      </c>
      <c r="CJ23" s="107"/>
      <c r="CL23" s="479"/>
      <c r="CM23" s="160" t="s">
        <v>42</v>
      </c>
      <c r="CN23" s="171"/>
      <c r="CO23" s="100"/>
      <c r="CP23" s="100" t="s">
        <v>77</v>
      </c>
      <c r="CQ23" s="100"/>
      <c r="CR23" s="100"/>
      <c r="CS23" s="101"/>
      <c r="CT23" s="98">
        <v>30</v>
      </c>
      <c r="CU23" s="156">
        <v>160</v>
      </c>
      <c r="CW23" s="479"/>
      <c r="CX23" s="221" t="s">
        <v>42</v>
      </c>
      <c r="CY23" s="197">
        <f t="shared" si="106"/>
      </c>
      <c r="CZ23" s="204">
        <f t="shared" si="106"/>
      </c>
      <c r="DA23" s="204" t="str">
        <f t="shared" si="106"/>
        <v>○</v>
      </c>
      <c r="DB23" s="204">
        <f t="shared" si="106"/>
      </c>
      <c r="DC23" s="204">
        <f t="shared" si="106"/>
      </c>
      <c r="DD23" s="205">
        <f t="shared" si="106"/>
      </c>
      <c r="DE23" s="156">
        <v>160</v>
      </c>
      <c r="DF23" s="107"/>
      <c r="DH23" s="479"/>
      <c r="DI23" s="160" t="s">
        <v>42</v>
      </c>
      <c r="DJ23" s="171"/>
      <c r="DK23" s="100"/>
      <c r="DL23" s="100" t="s">
        <v>77</v>
      </c>
      <c r="DM23" s="100"/>
      <c r="DN23" s="100"/>
      <c r="DO23" s="101"/>
      <c r="DP23" s="98">
        <v>30</v>
      </c>
      <c r="DQ23" s="156">
        <v>160</v>
      </c>
      <c r="DS23" s="479"/>
      <c r="DT23" s="221" t="s">
        <v>42</v>
      </c>
      <c r="DU23" s="197">
        <f t="shared" si="107"/>
      </c>
      <c r="DV23" s="204">
        <f t="shared" si="107"/>
      </c>
      <c r="DW23" s="204" t="str">
        <f t="shared" si="107"/>
        <v>○</v>
      </c>
      <c r="DX23" s="204">
        <f t="shared" si="107"/>
      </c>
      <c r="DY23" s="204">
        <f t="shared" si="107"/>
      </c>
      <c r="DZ23" s="205">
        <f t="shared" si="107"/>
      </c>
      <c r="EA23" s="156">
        <v>160</v>
      </c>
      <c r="EB23" s="107"/>
      <c r="ED23" s="479"/>
      <c r="EE23" s="160" t="s">
        <v>42</v>
      </c>
      <c r="EF23" s="171"/>
      <c r="EG23" s="100"/>
      <c r="EH23" s="100" t="s">
        <v>77</v>
      </c>
      <c r="EI23" s="100"/>
      <c r="EJ23" s="100"/>
      <c r="EK23" s="101"/>
      <c r="EL23" s="98">
        <v>30</v>
      </c>
      <c r="EM23" s="156">
        <v>160</v>
      </c>
      <c r="EO23" s="479"/>
      <c r="EP23" s="221" t="s">
        <v>42</v>
      </c>
      <c r="EQ23" s="197">
        <f t="shared" si="108"/>
      </c>
      <c r="ER23" s="204">
        <f t="shared" si="108"/>
      </c>
      <c r="ES23" s="204" t="str">
        <f t="shared" si="108"/>
        <v>○</v>
      </c>
      <c r="ET23" s="204">
        <f t="shared" si="108"/>
      </c>
      <c r="EU23" s="204">
        <f t="shared" si="109"/>
      </c>
      <c r="EV23" s="205">
        <f t="shared" si="109"/>
      </c>
      <c r="EW23" s="156">
        <v>160</v>
      </c>
      <c r="EX23" s="107"/>
      <c r="EZ23" s="479"/>
      <c r="FA23" s="160" t="s">
        <v>42</v>
      </c>
      <c r="FB23" s="171"/>
      <c r="FC23" s="100"/>
      <c r="FD23" s="100" t="s">
        <v>77</v>
      </c>
      <c r="FE23" s="100"/>
      <c r="FF23" s="100"/>
      <c r="FG23" s="101"/>
      <c r="FH23" s="98">
        <v>0</v>
      </c>
      <c r="FI23" s="156">
        <v>160</v>
      </c>
      <c r="FK23" s="510"/>
      <c r="FL23" s="43" t="s">
        <v>42</v>
      </c>
      <c r="FM23" s="98"/>
      <c r="FN23" s="92"/>
      <c r="FO23" s="92">
        <v>165</v>
      </c>
      <c r="FP23" s="92"/>
      <c r="FQ23" s="92"/>
      <c r="FR23" s="93"/>
      <c r="FS23" s="151">
        <f>MAX(FM23:FR23)</f>
        <v>165</v>
      </c>
      <c r="FT23" s="80">
        <v>160</v>
      </c>
    </row>
    <row r="24" spans="2:176" ht="14.25" thickBot="1">
      <c r="B24" s="453"/>
      <c r="C24" s="179" t="s">
        <v>43</v>
      </c>
      <c r="D24" s="199">
        <f>IF(O24="○",O24,"")</f>
      </c>
      <c r="E24" s="206">
        <f>IF(P24="○",P24,"")</f>
      </c>
      <c r="F24" s="206" t="str">
        <f>IF(Q24="○",Q24,"")</f>
        <v>○</v>
      </c>
      <c r="G24" s="206">
        <f>IF(R24="○",R24,"")</f>
      </c>
      <c r="H24" s="206">
        <f>IF(S24="○",S24,"")</f>
      </c>
      <c r="I24" s="207">
        <f>IF(T24="○",T24,"")</f>
      </c>
      <c r="J24" s="265">
        <v>100</v>
      </c>
      <c r="K24" s="107"/>
      <c r="M24" s="453"/>
      <c r="N24" s="161" t="s">
        <v>43</v>
      </c>
      <c r="O24" s="171"/>
      <c r="P24" s="100"/>
      <c r="Q24" s="100" t="s">
        <v>77</v>
      </c>
      <c r="R24" s="100"/>
      <c r="S24" s="100"/>
      <c r="T24" s="101"/>
      <c r="U24" s="99">
        <v>0</v>
      </c>
      <c r="V24" s="156">
        <v>100</v>
      </c>
      <c r="X24" s="453"/>
      <c r="Y24" s="161" t="s">
        <v>43</v>
      </c>
      <c r="Z24" s="171"/>
      <c r="AA24" s="100"/>
      <c r="AB24" s="100" t="s">
        <v>77</v>
      </c>
      <c r="AC24" s="100"/>
      <c r="AD24" s="100"/>
      <c r="AE24" s="101"/>
      <c r="AF24" s="99">
        <v>0</v>
      </c>
      <c r="AG24" s="156">
        <v>100</v>
      </c>
      <c r="AI24" s="453"/>
      <c r="AJ24" s="161" t="s">
        <v>43</v>
      </c>
      <c r="AK24" s="171"/>
      <c r="AL24" s="100"/>
      <c r="AM24" s="100" t="s">
        <v>77</v>
      </c>
      <c r="AN24" s="100"/>
      <c r="AO24" s="100"/>
      <c r="AP24" s="101"/>
      <c r="AQ24" s="99">
        <v>60</v>
      </c>
      <c r="AR24" s="156">
        <v>100</v>
      </c>
      <c r="AT24" s="453"/>
      <c r="AU24" s="179" t="s">
        <v>43</v>
      </c>
      <c r="AV24" s="199">
        <f t="shared" si="104"/>
      </c>
      <c r="AW24" s="206">
        <f t="shared" si="104"/>
      </c>
      <c r="AX24" s="206" t="str">
        <f t="shared" si="104"/>
        <v>○</v>
      </c>
      <c r="AY24" s="206">
        <f t="shared" si="104"/>
      </c>
      <c r="AZ24" s="206">
        <f t="shared" si="104"/>
      </c>
      <c r="BA24" s="207">
        <f t="shared" si="104"/>
      </c>
      <c r="BB24" s="265">
        <v>100</v>
      </c>
      <c r="BC24" s="107"/>
      <c r="BE24" s="453"/>
      <c r="BF24" s="161" t="s">
        <v>43</v>
      </c>
      <c r="BG24" s="171"/>
      <c r="BH24" s="100"/>
      <c r="BI24" s="100" t="s">
        <v>77</v>
      </c>
      <c r="BJ24" s="100"/>
      <c r="BK24" s="100"/>
      <c r="BL24" s="101"/>
      <c r="BM24" s="99">
        <v>35</v>
      </c>
      <c r="BN24" s="156">
        <v>100</v>
      </c>
      <c r="BP24" s="453"/>
      <c r="BQ24" s="161" t="s">
        <v>43</v>
      </c>
      <c r="BR24" s="171"/>
      <c r="BS24" s="100"/>
      <c r="BT24" s="100" t="s">
        <v>77</v>
      </c>
      <c r="BU24" s="100"/>
      <c r="BV24" s="100"/>
      <c r="BW24" s="101"/>
      <c r="BX24" s="99">
        <v>0</v>
      </c>
      <c r="BY24" s="156">
        <v>100</v>
      </c>
      <c r="CA24" s="453"/>
      <c r="CB24" s="179" t="s">
        <v>43</v>
      </c>
      <c r="CC24" s="199">
        <f t="shared" si="105"/>
      </c>
      <c r="CD24" s="206">
        <f t="shared" si="105"/>
      </c>
      <c r="CE24" s="206" t="str">
        <f t="shared" si="105"/>
        <v>○</v>
      </c>
      <c r="CF24" s="206">
        <f t="shared" si="105"/>
      </c>
      <c r="CG24" s="206">
        <f t="shared" si="105"/>
      </c>
      <c r="CH24" s="207">
        <f t="shared" si="105"/>
      </c>
      <c r="CI24" s="265">
        <v>100</v>
      </c>
      <c r="CJ24" s="107"/>
      <c r="CL24" s="453"/>
      <c r="CM24" s="161" t="s">
        <v>43</v>
      </c>
      <c r="CN24" s="171"/>
      <c r="CO24" s="100"/>
      <c r="CP24" s="100" t="s">
        <v>77</v>
      </c>
      <c r="CQ24" s="100"/>
      <c r="CR24" s="100"/>
      <c r="CS24" s="101"/>
      <c r="CT24" s="99">
        <v>0</v>
      </c>
      <c r="CU24" s="156">
        <v>100</v>
      </c>
      <c r="CW24" s="453"/>
      <c r="CX24" s="179" t="s">
        <v>43</v>
      </c>
      <c r="CY24" s="199">
        <f t="shared" si="106"/>
      </c>
      <c r="CZ24" s="206">
        <f t="shared" si="106"/>
      </c>
      <c r="DA24" s="206" t="str">
        <f t="shared" si="106"/>
        <v>○</v>
      </c>
      <c r="DB24" s="206">
        <f t="shared" si="106"/>
      </c>
      <c r="DC24" s="206">
        <f t="shared" si="106"/>
      </c>
      <c r="DD24" s="207">
        <f t="shared" si="106"/>
      </c>
      <c r="DE24" s="265">
        <v>100</v>
      </c>
      <c r="DF24" s="107"/>
      <c r="DH24" s="479"/>
      <c r="DI24" s="161" t="s">
        <v>43</v>
      </c>
      <c r="DJ24" s="171"/>
      <c r="DK24" s="100"/>
      <c r="DL24" s="100" t="s">
        <v>77</v>
      </c>
      <c r="DM24" s="100"/>
      <c r="DN24" s="100"/>
      <c r="DO24" s="101"/>
      <c r="DP24" s="99">
        <v>0</v>
      </c>
      <c r="DQ24" s="156">
        <v>100</v>
      </c>
      <c r="DS24" s="479"/>
      <c r="DT24" s="179" t="s">
        <v>43</v>
      </c>
      <c r="DU24" s="199">
        <f t="shared" si="107"/>
      </c>
      <c r="DV24" s="206">
        <f t="shared" si="107"/>
      </c>
      <c r="DW24" s="206" t="str">
        <f t="shared" si="107"/>
        <v>○</v>
      </c>
      <c r="DX24" s="206">
        <f t="shared" si="107"/>
      </c>
      <c r="DY24" s="206">
        <f t="shared" si="107"/>
      </c>
      <c r="DZ24" s="207">
        <f t="shared" si="107"/>
      </c>
      <c r="EA24" s="265">
        <v>100</v>
      </c>
      <c r="EB24" s="107"/>
      <c r="ED24" s="479"/>
      <c r="EE24" s="161" t="s">
        <v>43</v>
      </c>
      <c r="EF24" s="171"/>
      <c r="EG24" s="100"/>
      <c r="EH24" s="100" t="s">
        <v>77</v>
      </c>
      <c r="EI24" s="100"/>
      <c r="EJ24" s="100"/>
      <c r="EK24" s="101"/>
      <c r="EL24" s="99">
        <v>0</v>
      </c>
      <c r="EM24" s="156">
        <v>100</v>
      </c>
      <c r="EO24" s="479"/>
      <c r="EP24" s="179" t="s">
        <v>43</v>
      </c>
      <c r="EQ24" s="199">
        <f t="shared" si="108"/>
      </c>
      <c r="ER24" s="206">
        <f t="shared" si="108"/>
      </c>
      <c r="ES24" s="206" t="str">
        <f t="shared" si="108"/>
        <v>○</v>
      </c>
      <c r="ET24" s="206">
        <f t="shared" si="108"/>
      </c>
      <c r="EU24" s="206">
        <f t="shared" si="109"/>
      </c>
      <c r="EV24" s="207">
        <f t="shared" si="109"/>
      </c>
      <c r="EW24" s="265">
        <v>100</v>
      </c>
      <c r="EX24" s="107"/>
      <c r="EZ24" s="479"/>
      <c r="FA24" s="161" t="s">
        <v>43</v>
      </c>
      <c r="FB24" s="171"/>
      <c r="FC24" s="100"/>
      <c r="FD24" s="100" t="s">
        <v>77</v>
      </c>
      <c r="FE24" s="100"/>
      <c r="FF24" s="100"/>
      <c r="FG24" s="101"/>
      <c r="FH24" s="99">
        <v>0</v>
      </c>
      <c r="FI24" s="156">
        <v>100</v>
      </c>
      <c r="FK24" s="510"/>
      <c r="FL24" s="103" t="s">
        <v>43</v>
      </c>
      <c r="FM24" s="99"/>
      <c r="FN24" s="95"/>
      <c r="FO24" s="95">
        <v>115</v>
      </c>
      <c r="FP24" s="95"/>
      <c r="FQ24" s="95"/>
      <c r="FR24" s="96"/>
      <c r="FS24" s="152">
        <f>MAX(FM24:FR24)</f>
        <v>115</v>
      </c>
      <c r="FT24" s="81">
        <v>100</v>
      </c>
    </row>
    <row r="25" spans="2:176" ht="14.25" customHeight="1" thickBot="1">
      <c r="B25" s="478" t="s">
        <v>4</v>
      </c>
      <c r="C25" s="138" t="s">
        <v>25</v>
      </c>
      <c r="D25" s="145">
        <f>(D27*J27)+(D28*J28)+(D31*J31)+(D32*J32)+(D33*J33)+(D34*J34)+(D35*J35)+(D36*J36)</f>
        <v>1160</v>
      </c>
      <c r="E25" s="146">
        <f>(E27*J27)+(E28*J28)+(E31*J31)+(E32*J32)+(E33*J33)+(E34*J34)+(E35*J35)+(E36*J36)</f>
        <v>1200</v>
      </c>
      <c r="F25" s="146">
        <f>(F27*J27)+(F28*J28)+(F31*J31)+(F32*J32)+(F33*J33)+(F34*J34)+(F35*J35)+(F36*J36)</f>
        <v>515</v>
      </c>
      <c r="G25" s="146">
        <f>(G27*J27)+(G28*J28)+(G31*J31)+(G32*J32)+(G33*J33)+(G34*J34)+(G35*J35)+(G36*J36)</f>
        <v>0</v>
      </c>
      <c r="H25" s="146">
        <f>(H27*J27)+(H28*J28)+(H31*J31)+(H32*J32)+(H33*J33)+(H34*J34)+(H35*J35)+(H36*J36)</f>
        <v>0</v>
      </c>
      <c r="I25" s="147">
        <f>(I27*J27)+(I28*J28)+(I31*J31)+(I32*J32)+(I33*J33)+(I34*J34)+(I35*J35)+(I36*J36)</f>
        <v>0</v>
      </c>
      <c r="J25" s="482" t="s">
        <v>34</v>
      </c>
      <c r="K25" s="482" t="s">
        <v>84</v>
      </c>
      <c r="M25" s="478" t="s">
        <v>4</v>
      </c>
      <c r="N25" s="165" t="s">
        <v>25</v>
      </c>
      <c r="O25" s="173">
        <f>(V27*O27)+(V28*O28)+(V28*O30)+(V31*O31)+(V32*O32)+(V33*O33)+(V34*O34)+(V35*O35)+(V36*O36)</f>
        <v>1160</v>
      </c>
      <c r="P25" s="66">
        <f>(V27*P27)+(V28*P28)+(V28*P30)+(V28*P30)+(V31*P31)+(V32*P32)+(V33*P33)+(V34*P34)+(V35*P35)+(V36*P36)</f>
        <v>1200</v>
      </c>
      <c r="Q25" s="30">
        <f>(V27*Q27)+(V28*Q28)+(V28*Q30)+(V31*Q31)+(V32*Q32)+(V33*Q33)+(V34*Q34)+(V35*Q35)+(V36*Q36)</f>
        <v>515</v>
      </c>
      <c r="R25" s="30">
        <f>(V27*R27)+(V28*R28)+(V28*R30)+(V31*R31)+(V32*R32)+(V33*R33)+(V34*R34)+(V35*R35)+(V36*R36)</f>
        <v>0</v>
      </c>
      <c r="S25" s="30">
        <f>(V27*S27)+(V28*S30)+(V28*S28)+(V31*S31)+(V32*S32)+(V33*S33)+(V34*S34)+(V35*S35)+(V36*S36)</f>
        <v>0</v>
      </c>
      <c r="T25" s="174">
        <f>(V27*T27)+(V28*T28)+(V28*T30)+(V31*T31)+(V32*T32)+(V33*T33)+(V34*T34)+(V35*T35)+(V36*T36)</f>
        <v>0</v>
      </c>
      <c r="U25" s="454" t="s">
        <v>26</v>
      </c>
      <c r="V25" s="456" t="s">
        <v>28</v>
      </c>
      <c r="X25" s="478" t="s">
        <v>4</v>
      </c>
      <c r="Y25" s="165" t="s">
        <v>25</v>
      </c>
      <c r="Z25" s="173">
        <f>(AG27*Z27)+(AG28*Z28)+(AG28*Z30)+(AG31*Z31)+(AG32*Z32)+(AG33*Z33)+(AG34*Z34)+(AG35*Z35)+(AG36*Z36)</f>
        <v>1070</v>
      </c>
      <c r="AA25" s="66">
        <f>(AG27*AA27)+(AG28*AA28)+(AG28*AA30)+(AG28*AA30)+(AG31*AA31)+(AG32*AA32)+(AG33*AA33)+(AG34*AA34)+(AG35*AA35)+(AG36*AA36)</f>
        <v>1140</v>
      </c>
      <c r="AB25" s="30">
        <f>(AG27*AB27)+(AG28*AB28)+(AG28*AB30)+(AG31*AB31)+(AG32*AB32)+(AG33*AB33)+(AG34*AB34)+(AG35*AB35)+(AG36*AB36)</f>
        <v>525</v>
      </c>
      <c r="AC25" s="30">
        <f>(AG27*AC27)+(AG28*AC28)+(AG28*AC30)+(AG31*AC31)+(AG32*AC32)+(AG33*AC33)+(AG34*AC34)+(AG35*AC35)+(AG36*AC36)</f>
        <v>0</v>
      </c>
      <c r="AD25" s="30">
        <f>(AG27*AD27)+(AG28*AD30)+(AG28*AD28)+(AG31*AD31)+(AG32*AD32)+(AG33*AD33)+(AG34*AD34)+(AG35*AD35)+(AG36*AD36)</f>
        <v>0</v>
      </c>
      <c r="AE25" s="174">
        <f>(AG27*AE27)+(AG28*AE28)+(AG28*AE30)+(AG31*AE31)+(AG32*AE32)+(AG33*AE33)+(AG34*AE34)+(AG35*AE35)+(AG36*AE36)</f>
        <v>0</v>
      </c>
      <c r="AF25" s="454" t="s">
        <v>26</v>
      </c>
      <c r="AG25" s="456" t="s">
        <v>28</v>
      </c>
      <c r="AI25" s="478" t="s">
        <v>4</v>
      </c>
      <c r="AJ25" s="165" t="s">
        <v>25</v>
      </c>
      <c r="AK25" s="173">
        <f>(AR27*AK27)+(AR28*AK28)+(AR28*AK30)+(AR31*AK31)+(AR32*AK32)+(AR33*AK33)+(AR34*AK34)+(AR35*AK35)+(AR36*AK36)</f>
        <v>1155</v>
      </c>
      <c r="AL25" s="66">
        <f>(AR27*AL27)+(AR28*AL28)+(AR28*AL30)+(AR28*AL30)+(AR31*AL31)+(AR32*AL32)+(AR33*AL33)+(AR34*AL34)+(AR35*AL35)+(AR36*AL36)</f>
        <v>1220</v>
      </c>
      <c r="AM25" s="30">
        <f>(AR27*AM27)+(AR28*AM28)+(AR28*AM30)+(AR31*AM31)+(AR32*AM32)+(AR33*AM33)+(AR34*AM34)+(AR35*AM35)+(AR36*AM36)</f>
        <v>580</v>
      </c>
      <c r="AN25" s="30">
        <f>(AR27*AN27)+(AR28*AN28)+(AR28*AN30)+(AR31*AN31)+(AR32*AN32)+(AR33*AN33)+(AR34*AN34)+(AR35*AN35)+(AR36*AN36)</f>
        <v>0</v>
      </c>
      <c r="AO25" s="30">
        <f>(AR27*AO27)+(AR28*AO30)+(AR28*AO28)+(AR31*AO31)+(AR32*AO32)+(AR33*AO33)+(AR34*AO34)+(AR35*AO35)+(AR36*AO36)</f>
        <v>0</v>
      </c>
      <c r="AP25" s="174">
        <f>(AR27*AP27)+(AR28*AP28)+(AR28*AP30)+(AR31*AP31)+(AR32*AP32)+(AR33*AP33)+(AR34*AP34)+(AR35*AP35)+(AR36*AP36)</f>
        <v>0</v>
      </c>
      <c r="AQ25" s="454" t="s">
        <v>26</v>
      </c>
      <c r="AR25" s="456" t="s">
        <v>28</v>
      </c>
      <c r="AT25" s="478" t="s">
        <v>4</v>
      </c>
      <c r="AU25" s="138" t="s">
        <v>25</v>
      </c>
      <c r="AV25" s="145">
        <f>(AV27*BB27)+(AV28*BB28)+(AV31*BB31)+(AV32*BB32)+(AV33*BB33)+(AV34*BB34)+(AV35*BB35)+(AV36*BB36)</f>
        <v>1790</v>
      </c>
      <c r="AW25" s="146">
        <f>(AW27*BB27)+(AW28*BB28)+(AW31*BB31)+(AW32*BB32)+(AW33*BB33)+(AW34*BB34)+(AW35*BB35)+(AW36*BB36)</f>
        <v>1315</v>
      </c>
      <c r="AX25" s="146">
        <f>(AX27*BB27)+(AX28*BB28)+(AX31*BB31)+(AX32*BB32)+(AX33*BB33)+(AX34*BB34)+(AX35*BB35)+(AX36*BB36)</f>
        <v>670</v>
      </c>
      <c r="AY25" s="146">
        <f>(AY27*BB27)+(AY28*BB28)+(AY31*BB31)+(AY32*BB32)+(AY33*BB33)+(AY34*BB34)+(AY35*BB35)+(AY36*BB36)</f>
        <v>0</v>
      </c>
      <c r="AZ25" s="146">
        <f>(AZ27*BB27)+(AZ28*BB28)+(AZ31*BB31)+(AZ32*BB32)+(AZ33*BB33)+(AZ34*BB34)+(AZ35*BB35)+(AZ36*BB36)</f>
        <v>0</v>
      </c>
      <c r="BA25" s="147">
        <f>(BA27*BB27)+(BA28*BB28)+(BA31*BB31)+(BA32*BB32)+(BA33*BB33)+(BA34*BB34)+(BA35*BB35)+(BA36*BB36)</f>
        <v>0</v>
      </c>
      <c r="BB25" s="482" t="s">
        <v>34</v>
      </c>
      <c r="BC25" s="482" t="s">
        <v>84</v>
      </c>
      <c r="BE25" s="478" t="s">
        <v>4</v>
      </c>
      <c r="BF25" s="165" t="s">
        <v>25</v>
      </c>
      <c r="BG25" s="173">
        <f>(BN27*BG27)+(BN28*BG28)+(BN28*BG30)+(BN31*BG31)+(BN32*BG32)+(BN33*BG33)+(BN34*BG34)+(BN35*BG35)+(BN36*BG36)</f>
        <v>1390</v>
      </c>
      <c r="BH25" s="66">
        <f>(BN27*BH27)+(BN28*BH28)+(BN28*BH30)+(BN28*BH30)+(BN31*BH31)+(BN32*BH32)+(BN33*BH33)+(BN34*BH34)+(BN35*BH35)+(BN36*BH36)</f>
        <v>1170</v>
      </c>
      <c r="BI25" s="30">
        <f>(BN27*BI27)+(BN28*BI28)+(BN28*BI30)+(BN31*BI31)+(BN32*BI32)+(BN33*BI33)+(BN34*BI34)+(BN35*BI35)+(BN36*BI36)</f>
        <v>760</v>
      </c>
      <c r="BJ25" s="30">
        <f>(BN27*BJ27)+(BN28*BJ28)+(BN28*BJ30)+(BN31*BJ31)+(BN32*BJ32)+(BN33*BJ33)+(BN34*BJ34)+(BN35*BJ35)+(BN36*BJ36)</f>
        <v>0</v>
      </c>
      <c r="BK25" s="30">
        <f>(BN27*BK27)+(BN28*BK30)+(BN28*BK28)+(BN31*BK31)+(BN32*BK32)+(BN33*BK33)+(BN34*BK34)+(BN35*BK35)+(BN36*BK36)</f>
        <v>0</v>
      </c>
      <c r="BL25" s="174">
        <f>(BN27*BL27)+(BN28*BL28)+(BN28*BL30)+(BN31*BL31)+(BN32*BL32)+(BN33*BL33)+(BN34*BL34)+(BN35*BL35)+(BN36*BL36)</f>
        <v>0</v>
      </c>
      <c r="BM25" s="454" t="s">
        <v>26</v>
      </c>
      <c r="BN25" s="456" t="s">
        <v>28</v>
      </c>
      <c r="BP25" s="478" t="s">
        <v>4</v>
      </c>
      <c r="BQ25" s="165" t="s">
        <v>25</v>
      </c>
      <c r="BR25" s="173">
        <f>(BY27*BR27)+(BY28*BR28)+(BY28*BR30)+(BY31*BR31)+(BY32*BR32)+(BY33*BR33)+(BY34*BR34)+(BY35*BR35)+(BY36*BR36)</f>
        <v>1335</v>
      </c>
      <c r="BS25" s="66">
        <f>(BY27*BS27)+(BY28*BS28)+(BY28*BS30)+(BY28*BS30)+(BY31*BS31)+(BY32*BS32)+(BY33*BS33)+(BY34*BS34)+(BY35*BS35)+(BY36*BS36)</f>
        <v>1130</v>
      </c>
      <c r="BT25" s="30">
        <f>(BY27*BT27)+(BY28*BT28)+(BY28*BT30)+(BY31*BT31)+(BY32*BT32)+(BY33*BT33)+(BY34*BT34)+(BY35*BT35)+(BY36*BT36)</f>
        <v>605</v>
      </c>
      <c r="BU25" s="30">
        <f>(BY27*BU27)+(BY28*BU28)+(BY28*BU30)+(BY31*BU31)+(BY32*BU32)+(BY33*BU33)+(BY34*BU34)+(BY35*BU35)+(BY36*BU36)</f>
        <v>0</v>
      </c>
      <c r="BV25" s="30">
        <f>(BY27*BV27)+(BY28*BV30)+(BY28*BV28)+(BY31*BV31)+(BY32*BV32)+(BY33*BV33)+(BY34*BV34)+(BY35*BV35)+(BY36*BV36)</f>
        <v>0</v>
      </c>
      <c r="BW25" s="174">
        <f>(BY27*BW27)+(BY28*BW28)+(BY28*BW30)+(BY31*BW31)+(BY32*BW32)+(BY33*BW33)+(BY34*BW34)+(BY35*BW35)+(BY36*BW36)</f>
        <v>0</v>
      </c>
      <c r="BX25" s="454" t="s">
        <v>26</v>
      </c>
      <c r="BY25" s="456" t="s">
        <v>28</v>
      </c>
      <c r="CA25" s="478" t="s">
        <v>4</v>
      </c>
      <c r="CB25" s="138" t="s">
        <v>25</v>
      </c>
      <c r="CC25" s="145">
        <f>(CC27*CI27)+(CC28*CI28)+(CC31*CI31)+(CC32*CI32)+(CC33*CI33)+(CC34*CI34)+(CC35*CI35)+(CC36*CI36)</f>
        <v>1270</v>
      </c>
      <c r="CD25" s="146">
        <f>(CD27*CI27)+(CD28*CI28)+(CD31*CI31)+(CD32*CI32)+(CD33*CI33)+(CD34*CI34)+(CD35*CI35)+(CD36*CI36)</f>
        <v>1140</v>
      </c>
      <c r="CE25" s="146">
        <f>(CE27*CI27)+(CE28*CI28)+(CE31*CI31)+(CE32*CI32)+(CE33*CI33)+(CE34*CI34)+(CE35*CI35)+(CE36*CI36)</f>
        <v>640</v>
      </c>
      <c r="CF25" s="146">
        <f>(CF27*CI27)+(CF28*CI28)+(CF31*CI31)+(CF32*CI32)+(CF33*CI33)+(CF34*CI34)+(CF35*CI35)+(CF36*CI36)</f>
        <v>0</v>
      </c>
      <c r="CG25" s="146">
        <f>(CG27*CI27)+(CG28*CI28)+(CG31*CI31)+(CG32*CI32)+(CG33*CI33)+(CG34*CI34)+(CG35*CI35)+(CG36*CI36)</f>
        <v>0</v>
      </c>
      <c r="CH25" s="147">
        <f>(CH27*CI27)+(CH28*CI28)+(CH31*CI31)+(CH32*CI32)+(CH33*CI33)+(CH34*CI34)+(CH35*CI35)+(CH36*CI36)</f>
        <v>0</v>
      </c>
      <c r="CI25" s="482" t="s">
        <v>34</v>
      </c>
      <c r="CJ25" s="482" t="s">
        <v>84</v>
      </c>
      <c r="CL25" s="478" t="s">
        <v>4</v>
      </c>
      <c r="CM25" s="165" t="s">
        <v>25</v>
      </c>
      <c r="CN25" s="173">
        <f>(CU27*CN27)+(CU28*CN28)+(CU28*CN30)+(CU31*CN31)+(CU32*CN32)+(CU33*CN33)+(CU34*CN34)+(CU35*CN35)+(CU36*CN36)</f>
        <v>1030</v>
      </c>
      <c r="CO25" s="66">
        <f>(CU27*CO27)+(CU28*CO28)+(CU28*CO30)+(CU28*CO30)+(CU31*CO31)+(CU32*CO32)+(CU33*CO33)+(CU34*CO34)+(CU35*CO35)+(CU36*CO36)</f>
        <v>640</v>
      </c>
      <c r="CP25" s="30">
        <f>(CU27*CP27)+(CU28*CP28)+(CU28*CP30)+(CU31*CP31)+(CU32*CP32)+(CU33*CP33)+(CU34*CP34)+(CU35*CP35)+(CU36*CP36)</f>
        <v>400</v>
      </c>
      <c r="CQ25" s="30">
        <f>(CU27*CQ27)+(CU28*CQ28)+(CU28*CQ30)+(CU31*CQ31)+(CU32*CQ32)+(CU33*CQ33)+(CU34*CQ34)+(CU35*CQ35)+(CU36*CQ36)</f>
        <v>0</v>
      </c>
      <c r="CR25" s="30">
        <f>(CU27*CR27)+(CU28*CR30)+(CU28*CR28)+(CU31*CR31)+(CU32*CR32)+(CU33*CR33)+(CU34*CR34)+(CU35*CR35)+(CU36*CR36)</f>
        <v>0</v>
      </c>
      <c r="CS25" s="174">
        <f>(CU27*CS27)+(CU28*CS28)+(CU28*CS30)+(CU31*CS31)+(CU32*CS32)+(CU33*CS33)+(CU34*CS34)+(CU35*CS35)+(CU36*CS36)</f>
        <v>0</v>
      </c>
      <c r="CT25" s="454" t="s">
        <v>26</v>
      </c>
      <c r="CU25" s="456" t="s">
        <v>28</v>
      </c>
      <c r="CW25" s="478" t="s">
        <v>4</v>
      </c>
      <c r="CX25" s="138" t="s">
        <v>25</v>
      </c>
      <c r="CY25" s="145">
        <f>(CY27*DE27)+(CY28*DE28)+(CY31*DE31)+(CY32*DE32)+(CY33*DE33)+(CY34*DE34)+(CY35*DE35)+(CY36*DE36)</f>
        <v>995</v>
      </c>
      <c r="CZ25" s="146">
        <f>(CZ27*DE27)+(CZ28*DE28)+(CZ31*DE31)+(CZ32*DE32)+(CZ33*DE33)+(CZ34*DE34)+(CZ35*DE35)+(CZ36*DE36)</f>
        <v>310</v>
      </c>
      <c r="DA25" s="146">
        <f>(DA27*DE27)+(DA28*DE28)+(DA31*DE31)+(DA32*DE32)+(DA33*DE33)+(DA34*DE34)+(DA35*DE35)+(DA36*DE36)</f>
        <v>415</v>
      </c>
      <c r="DB25" s="146">
        <f>(DB27*DE27)+(DB28*DE28)+(DB31*DE31)+(DB32*DE32)+(DB33*DE33)+(DB34*DE34)+(DB35*DE35)+(DB36*DE36)</f>
        <v>0</v>
      </c>
      <c r="DC25" s="146">
        <f>(DC27*DE27)+(DC28*DE28)+(DC31*DE31)+(DC32*DE32)+(DC33*DE33)+(DC34*DE34)+(DC35*DE35)+(DC36*DE36)</f>
        <v>0</v>
      </c>
      <c r="DD25" s="147">
        <f>(DD27*DE27)+(DD28*DE28)+(DD31*DE31)+(DD32*DE32)+(DD33*DE33)+(DD34*DE34)+(DD35*DE35)+(DD36*DE36)</f>
        <v>0</v>
      </c>
      <c r="DE25" s="482" t="s">
        <v>34</v>
      </c>
      <c r="DF25" s="482" t="s">
        <v>84</v>
      </c>
      <c r="DH25" s="478" t="s">
        <v>4</v>
      </c>
      <c r="DI25" s="165" t="s">
        <v>25</v>
      </c>
      <c r="DJ25" s="173">
        <f>(DQ27*DJ27)+(DQ28*DJ28)+(DQ28*DJ30)+(DQ31*DJ31)+(DQ32*DJ32)+(DQ33*DJ33)+(DQ34*DJ34)+(DQ35*DJ35)+(DQ36*DJ36)</f>
        <v>940</v>
      </c>
      <c r="DK25" s="66">
        <f>(DQ27*DK27)+(DQ28*DK28)+(DQ28*DK30)+(DQ28*DK30)+(DQ31*DK31)+(DQ32*DK32)+(DQ33*DK33)+(DQ34*DK34)+(DQ35*DK35)+(DQ36*DK36)</f>
        <v>600</v>
      </c>
      <c r="DL25" s="30">
        <f>(DQ27*DL27)+(DQ28*DL28)+(DQ28*DL30)+(DQ31*DL31)+(DQ32*DL32)+(DQ33*DL33)+(DQ34*DL34)+(DQ35*DL35)+(DQ36*DL36)</f>
        <v>90</v>
      </c>
      <c r="DM25" s="30">
        <f>(DQ27*DM27)+(DQ28*DM28)+(DQ28*DM30)+(DQ31*DM31)+(DQ32*DM32)+(DQ33*DM33)+(DQ34*DM34)+(DQ35*DM35)+(DQ36*DM36)</f>
        <v>0</v>
      </c>
      <c r="DN25" s="30">
        <f>(DQ27*DN27)+(DQ28*DN30)+(DQ28*DN28)+(DQ31*DN31)+(DQ32*DN32)+(DQ33*DN33)+(DQ34*DN34)+(DQ35*DN35)+(DQ36*DN36)</f>
        <v>0</v>
      </c>
      <c r="DO25" s="174">
        <f>(DQ27*DO27)+(DQ28*DO28)+(DQ28*DO30)+(DQ31*DO31)+(DQ32*DO32)+(DQ33*DO33)+(DQ34*DO34)+(DQ35*DO35)+(DQ36*DO36)</f>
        <v>0</v>
      </c>
      <c r="DP25" s="511" t="s">
        <v>26</v>
      </c>
      <c r="DQ25" s="456" t="s">
        <v>28</v>
      </c>
      <c r="DS25" s="478" t="s">
        <v>4</v>
      </c>
      <c r="DT25" s="138" t="s">
        <v>25</v>
      </c>
      <c r="DU25" s="145">
        <f>(DU27*EA27)+(DU28*EA28)+(DU31*EA31)+(DU32*EA32)+(DU33*EA33)+(DU34*EA34)+(DU35*EA35)+(DU36*EA36)</f>
        <v>870</v>
      </c>
      <c r="DV25" s="146">
        <f>(DV27*EA27)+(DV28*EA28)+(DV31*EA31)+(DV32*EA32)+(DV33*EA33)+(DV34*EA34)+(DV35*EA35)+(DV36*EA36)</f>
        <v>550</v>
      </c>
      <c r="DW25" s="146">
        <f>(DW27*EA27)+(DW28*EA28)+(DW31*EA31)+(DW32*EA32)+(DW33*EA33)+(DW34*EA34)+(DW35*EA35)+(DW36*EA36)</f>
        <v>80</v>
      </c>
      <c r="DX25" s="146">
        <f>(DX27*EA27)+(DX28*EA28)+(DX31*EA31)+(DX32*EA32)+(DX33*EA33)+(DX34*EA34)+(DX35*EA35)+(DX36*EA36)</f>
        <v>0</v>
      </c>
      <c r="DY25" s="146">
        <f>(DY27*EA27)+(DY28*EA28)+(DY31*EA31)+(DY32*EA32)+(DY33*EA33)+(DY34*EA34)+(DY35*EA35)+(DY36*EA36)</f>
        <v>0</v>
      </c>
      <c r="DZ25" s="147">
        <f>(DZ27*EA27)+(DZ28*EA28)+(DZ31*EA31)+(DZ32*EA32)+(DZ33*EA33)+(DZ34*EA34)+(DZ35*EA35)+(DZ36*EA36)</f>
        <v>0</v>
      </c>
      <c r="EA25" s="482" t="s">
        <v>34</v>
      </c>
      <c r="EB25" s="482" t="s">
        <v>84</v>
      </c>
      <c r="ED25" s="478" t="s">
        <v>4</v>
      </c>
      <c r="EE25" s="165" t="s">
        <v>25</v>
      </c>
      <c r="EF25" s="173">
        <f>(EM27*EF27)+(EM28*EF28)+(EM28*EF30)+(EM31*EF31)+(EM32*EF32)+(EM33*EF33)+(EM34*EF34)+(EM35*EF35)+(EM36*EF36)</f>
        <v>780</v>
      </c>
      <c r="EG25" s="66">
        <f>(EM27*EG27)+(EM28*EG28)+(EM28*EG30)+(EM28*EG30)+(EM31*EG31)+(EM32*EG32)+(EM33*EG33)+(EM34*EG34)+(EM35*EG35)+(EM36*EG36)</f>
        <v>450</v>
      </c>
      <c r="EH25" s="30">
        <f>(EM27*EH27)+(EM28*EH28)+(EM28*EH30)+(EM31*EH31)+(EM32*EH32)+(EM33*EH33)+(EM34*EH34)+(EM35*EH35)+(EM36*EH36)</f>
        <v>0</v>
      </c>
      <c r="EI25" s="30">
        <f>(EM27*EI27)+(EM28*EI28)+(EM28*EI30)+(EM31*EI31)+(EM32*EI32)+(EM33*EI33)+(EM34*EI34)+(EM35*EI35)+(EM36*EI36)</f>
        <v>0</v>
      </c>
      <c r="EJ25" s="30">
        <f>(EM27*EJ27)+(EM28*EJ30)+(EM28*EJ28)+(EM31*EJ31)+(EM32*EJ32)+(EM33*EJ33)+(EM34*EJ34)+(EM35*EJ35)+(EM36*EJ36)</f>
        <v>0</v>
      </c>
      <c r="EK25" s="174">
        <f>(EM27*EK27)+(EM28*EK28)+(EM28*EK30)+(EM31*EK31)+(EM32*EK32)+(EM33*EK33)+(EM34*EK34)+(EM35*EK35)+(EM36*EK36)</f>
        <v>0</v>
      </c>
      <c r="EL25" s="511" t="s">
        <v>26</v>
      </c>
      <c r="EM25" s="456" t="s">
        <v>28</v>
      </c>
      <c r="EO25" s="478" t="s">
        <v>4</v>
      </c>
      <c r="EP25" s="138" t="s">
        <v>25</v>
      </c>
      <c r="EQ25" s="145">
        <f>(EQ27*EW27)+(EQ28*EW28)+(EQ31*EW31)+(EQ32*EW32)+(EQ33*EW33)+(EQ34*EW34)+(EQ35*EW35)+(EQ36*EW36)</f>
        <v>750</v>
      </c>
      <c r="ER25" s="146">
        <f>(ER27*EW27)+(ER28*EW28)+(ER31*EW31)+(ER32*EW32)+(ER33*EW33)+(ER34*EW34)+(ER35*EW35)+(ER36*EW36)</f>
        <v>400</v>
      </c>
      <c r="ES25" s="146">
        <f>(ES27*EW27)+(ES28*EW28)+(ES31*EW31)+(ES32*EW32)+(ES33*EW33)+(ES34*EW34)+(ES35*EW35)+(ES36*EW36)</f>
        <v>0</v>
      </c>
      <c r="ET25" s="146">
        <f>(ET27*EW27)+(ET28*EW28)+(ET31*EW31)+(ET32*EW32)+(ET33*EW33)+(ET34*EW34)+(ET35*EW35)+(ET36*EW36)</f>
        <v>0</v>
      </c>
      <c r="EU25" s="146">
        <f>(EU27*EW27)+(EU28*EW28)+(EU31*EW31)+(EU32*EW32)+(EU33*EW33)+(EU34*EW34)+(EU35*EW35)+(EU36*EW36)</f>
        <v>0</v>
      </c>
      <c r="EV25" s="147">
        <f>(EV27*EW27)+(EV28*EW28)+(EV31*EW31)+(EV32*EW32)+(EV33*EW33)+(EV34*EW34)+(EV35*EW35)+(EV36*EW36)</f>
        <v>0</v>
      </c>
      <c r="EW25" s="482" t="s">
        <v>34</v>
      </c>
      <c r="EX25" s="482" t="s">
        <v>84</v>
      </c>
      <c r="EZ25" s="478" t="s">
        <v>4</v>
      </c>
      <c r="FA25" s="165" t="s">
        <v>25</v>
      </c>
      <c r="FB25" s="173">
        <f>(FI27*FB27)+(FI28*FB28)+(FI28*FB30)+(FI31*FB31)+(FI32*FB32)+(FI33*FB33)+(FI34*FB34)+(FI35*FB35)+(FI36*FB36)</f>
        <v>675</v>
      </c>
      <c r="FC25" s="66">
        <f>(FI27*FC27)+(FI28*FC28)+(FI28*FC30)+(FI28*FC30)+(FI31*FC31)+(FI32*FC32)+(FI33*FC33)+(FI34*FC34)+(FI35*FC35)+(FI36*FC36)</f>
        <v>400</v>
      </c>
      <c r="FD25" s="30">
        <f>(FI27*FD27)+(FI28*FD28)+(FI28*FD30)+(FI31*FD31)+(FI32*FD32)+(FI33*FD33)+(FI34*FD34)+(FI35*FD35)+(FI36*FD36)</f>
        <v>0</v>
      </c>
      <c r="FE25" s="30">
        <f>(FI27*FE27)+(FI28*FE28)+(FI28*FE30)+(FI31*FE31)+(FI32*FE32)+(FI33*FE33)+(FI34*FE34)+(FI35*FE35)+(FI36*FE36)</f>
        <v>0</v>
      </c>
      <c r="FF25" s="30">
        <f>(FI27*FF27)+(FI28*FF30)+(FI28*FF28)+(FI31*FF31)+(FI32*FF32)+(FI33*FF33)+(FI34*FF34)+(FI35*FF35)+(FI36*FF36)</f>
        <v>0</v>
      </c>
      <c r="FG25" s="174">
        <f>(FI27*FG27)+(FI28*FG28)+(FI28*FG30)+(FI31*FG31)+(FI32*FG32)+(FI33*FG33)+(FI34*FG34)+(FI35*FG35)+(FI36*FG36)</f>
        <v>0</v>
      </c>
      <c r="FH25" s="511" t="s">
        <v>26</v>
      </c>
      <c r="FI25" s="456" t="s">
        <v>28</v>
      </c>
      <c r="FK25" s="509" t="s">
        <v>4</v>
      </c>
      <c r="FL25" s="138" t="s">
        <v>25</v>
      </c>
      <c r="FM25" s="145">
        <f>(FM27*FS27)+(FM28*FS28)+(FM31*FS31)+(FM32*FS32)+(FM33*FS33)+(FM34*FS34)+(FM35*FS35)+(FM36*FS36)</f>
        <v>700</v>
      </c>
      <c r="FN25" s="146">
        <f>(FN27*FS27)+(FN28*FS28)+(FN31*FS31)+(FN32*FS32)+(FN33*FS33)+(FN34*FS34)+(FN35*FS35)+(FN36*FS36)</f>
        <v>450</v>
      </c>
      <c r="FO25" s="146">
        <f>(FO27*FS27)+(FO28*FS28)+(FO31*FS31)+(FO32*FS32)+(FO33*FS33)+(FO34*FS34)+(FO35*FS35)+(FO36*FS36)</f>
        <v>0</v>
      </c>
      <c r="FP25" s="146">
        <f>(FP27*FS27)+(FP28*FS28)+(FP31*FS31)+(FP32*FS32)+(FP33*FS33)+(FP34*FS34)+(FP35*FS35)+(FP36*FS36)</f>
        <v>0</v>
      </c>
      <c r="FQ25" s="146">
        <f>(FQ27*FS27)+(FQ28*FS28)+(FQ31*FS31)+(FQ32*FS32)+(FQ33*FS33)+(FQ34*FS34)+(FQ35*FS35)+(FQ36*FS36)</f>
        <v>0</v>
      </c>
      <c r="FR25" s="147">
        <f>(FR27*FS27)+(FR28*FS28)+(FR31*FS31)+(FR32*FS32)+(FR33*FS33)+(FR34*FS34)+(FR35*FS35)+(FR36*FS36)</f>
        <v>0</v>
      </c>
      <c r="FS25" s="544" t="s">
        <v>34</v>
      </c>
      <c r="FT25" s="544" t="s">
        <v>84</v>
      </c>
    </row>
    <row r="26" spans="2:176" ht="14.25" customHeight="1" thickBot="1">
      <c r="B26" s="479"/>
      <c r="C26" s="153" t="s">
        <v>94</v>
      </c>
      <c r="D26" s="145">
        <f>-DSUM(C45:H89,H45,WORK!$C$1:$C$2)</f>
        <v>0</v>
      </c>
      <c r="E26" s="146">
        <f>-DSUM(C45:H89,H45,WORK!$G$1:$G$2)</f>
        <v>0</v>
      </c>
      <c r="F26" s="146">
        <f>-DSUM(C45:H89,H45,WORK!$K$1:$K$2)</f>
        <v>0</v>
      </c>
      <c r="G26" s="146">
        <f>-DSUM(C45:H89,H45,WORK!$O$1:$O$2)</f>
        <v>0</v>
      </c>
      <c r="H26" s="146">
        <f>-DSUM(C45:H89,H45,WORK!$S$1:$S$2)</f>
        <v>0</v>
      </c>
      <c r="I26" s="147">
        <f>-DSUM(C45:H89,H45,WORK!$W$1:$W$2)</f>
        <v>0</v>
      </c>
      <c r="J26" s="483"/>
      <c r="K26" s="483"/>
      <c r="M26" s="479"/>
      <c r="N26" s="159" t="s">
        <v>80</v>
      </c>
      <c r="O26" s="175">
        <f>(U27*O27)+(U28*O28)+(U31*O31)+(U32*O32)+(U33*O33)+(U34*O34)+(U35*O35)+(U36*O36)</f>
        <v>1091</v>
      </c>
      <c r="P26" s="66">
        <f>(U27*P27)+(U28*P28)+(U31*P31)+(U32*P32)+(U33*P33)+(U34*P34)+(U35*P35)+(U36*P36)</f>
        <v>616</v>
      </c>
      <c r="Q26" s="66">
        <f>(U27*Q27)+(U28*Q28)+(U31*Q31)+(U32*Q32)+(U33*Q33)+(U34*Q34)+(U35*Q35)+(U36*Q36)</f>
        <v>109</v>
      </c>
      <c r="R26" s="66">
        <f>(U27*R27)+(U28*R28)+(U31*R31)+(U32*R32)+(U33*R33)+(U34*R34)+(U35*R35)+(U36*R36)</f>
        <v>0</v>
      </c>
      <c r="S26" s="66">
        <f>(U27*S27)+(U28*S28)+(U31*S31)+(U32*S32)+(U33*S33)+(U34*S34)+(U35*S35)+(U36*S36)</f>
        <v>0</v>
      </c>
      <c r="T26" s="176">
        <f>(U27*T27)+(U28*T28)+(U31*T31)+(U32*T32)+(U33*T33)+(U34*T34)+(U35*T35)+(U36*T36)</f>
        <v>0</v>
      </c>
      <c r="U26" s="455"/>
      <c r="V26" s="457"/>
      <c r="X26" s="479"/>
      <c r="Y26" s="159" t="s">
        <v>80</v>
      </c>
      <c r="Z26" s="175">
        <f>(AF27*Z27)+(AF28*Z28)+(AF31*Z31)+(AF32*Z32)+(AF33*Z33)+(AF34*Z34)+(AF35*Z35)+(AF36*Z36)</f>
        <v>62</v>
      </c>
      <c r="AA26" s="66">
        <f>(AF27*AA27)+(AF28*AA28)+(AF31*AA31)+(AF32*AA32)+(AF33*AA33)+(AF34*AA34)+(AF35*AA35)+(AF36*AA36)</f>
        <v>128</v>
      </c>
      <c r="AB26" s="66">
        <f>(AF27*AB27)+(AF28*AB28)+(AF31*AB31)+(AF32*AB32)+(AF33*AB33)+(AF34*AB34)+(AF35*AB35)+(AF36*AB36)</f>
        <v>31</v>
      </c>
      <c r="AC26" s="66">
        <f>(AF27*AC27)+(AF28*AC28)+(AF31*AC31)+(AF32*AC32)+(AF33*AC33)+(AF34*AC34)+(AF35*AC35)+(AF36*AC36)</f>
        <v>0</v>
      </c>
      <c r="AD26" s="66">
        <f>(AF27*AD27)+(AF28*AD28)+(AF31*AD31)+(AF32*AD32)+(AF33*AD33)+(AF34*AD34)+(AF35*AD35)+(AF36*AD36)</f>
        <v>0</v>
      </c>
      <c r="AE26" s="176">
        <f>(AF27*AE27)+(AF28*AE28)+(AF31*AE31)+(AF32*AE32)+(AF33*AE33)+(AF34*AE34)+(AF35*AE35)+(AF36*AE36)</f>
        <v>0</v>
      </c>
      <c r="AF26" s="455"/>
      <c r="AG26" s="457"/>
      <c r="AI26" s="479"/>
      <c r="AJ26" s="159" t="s">
        <v>80</v>
      </c>
      <c r="AK26" s="175">
        <f>(AQ27*AK27)+(AQ28*AK28)+(AQ31*AK31)+(AQ32*AK32)+(AQ33*AK33)+(AQ34*AK34)+(AQ35*AK35)+(AQ36*AK36)</f>
        <v>0</v>
      </c>
      <c r="AL26" s="66">
        <f>(AQ27*AL27)+(AQ28*AL28)+(AQ31*AL31)+(AQ32*AL32)+(AQ33*AL33)+(AQ34*AL34)+(AQ35*AL35)+(AQ36*AL36)</f>
        <v>0</v>
      </c>
      <c r="AM26" s="66">
        <f>(AQ27*AM27)+(AQ28*AM28)+(AQ31*AM31)+(AQ32*AM32)+(AQ33*AM33)+(AQ34*AM34)+(AQ35*AM35)+(AQ36*AM36)</f>
        <v>0</v>
      </c>
      <c r="AN26" s="66">
        <f>(AQ27*AN27)+(AQ28*AN28)+(AQ31*AN31)+(AQ32*AN32)+(AQ33*AN33)+(AQ34*AN34)+(AQ35*AN35)+(AQ36*AN36)</f>
        <v>0</v>
      </c>
      <c r="AO26" s="66">
        <f>(AQ27*AO27)+(AQ28*AO28)+(AQ31*AO31)+(AQ32*AO32)+(AQ33*AO33)+(AQ34*AO34)+(AQ35*AO35)+(AQ36*AO36)</f>
        <v>0</v>
      </c>
      <c r="AP26" s="176">
        <f>(AQ27*AP27)+(AQ28*AP28)+(AQ31*AP31)+(AQ32*AP32)+(AQ33*AP33)+(AQ34*AP34)+(AQ35*AP35)+(AQ36*AP36)</f>
        <v>0</v>
      </c>
      <c r="AQ26" s="455"/>
      <c r="AR26" s="457"/>
      <c r="AT26" s="479"/>
      <c r="AU26" s="153" t="s">
        <v>94</v>
      </c>
      <c r="AV26" s="145">
        <f>-DSUM(AU45:AZ89,AZ45,WORK!$C$1:$C$2)</f>
        <v>455</v>
      </c>
      <c r="AW26" s="146">
        <f>-DSUM(AU45:AZ89,AZ45,WORK!$G$1:$G$2)</f>
        <v>370</v>
      </c>
      <c r="AX26" s="146">
        <f>-DSUM(AU45:AZ89,AZ45,WORK!$K$1:$K$2)</f>
        <v>165</v>
      </c>
      <c r="AY26" s="146">
        <f>-DSUM(AU45:AZ89,AZ45,WORK!$O$1:$O$2)</f>
        <v>0</v>
      </c>
      <c r="AZ26" s="146">
        <f>-DSUM(AU45:AZ89,AZ45,WORK!$S$1:$S$2)</f>
        <v>0</v>
      </c>
      <c r="BA26" s="147">
        <f>-DSUM(AU45:AZ89,AZ45,WORK!$W$1:$W$2)</f>
        <v>0</v>
      </c>
      <c r="BB26" s="483"/>
      <c r="BC26" s="483"/>
      <c r="BE26" s="479"/>
      <c r="BF26" s="159" t="s">
        <v>80</v>
      </c>
      <c r="BG26" s="175">
        <f>(BM27*BG27)+(BM28*BG28)+(BM31*BG31)+(BM32*BG32)+(BM33*BG33)+(BM34*BG34)+(BM35*BG35)+(BM36*BG36)</f>
        <v>170</v>
      </c>
      <c r="BH26" s="66">
        <f>(BM27*BH27)+(BM28*BH28)+(BM31*BH31)+(BM32*BH32)+(BM33*BH33)+(BM34*BH34)+(BM35*BH35)+(BM36*BH36)</f>
        <v>145</v>
      </c>
      <c r="BI26" s="66">
        <f>(BM27*BI27)+(BM28*BI28)+(BM31*BI31)+(BM32*BI32)+(BM33*BI33)+(BM34*BI34)+(BM35*BI35)+(BM36*BI36)</f>
        <v>103</v>
      </c>
      <c r="BJ26" s="66">
        <f>(BM27*BJ27)+(BM28*BJ28)+(BM31*BJ31)+(BM32*BJ32)+(BM33*BJ33)+(BM34*BJ34)+(BM35*BJ35)+(BM36*BJ36)</f>
        <v>0</v>
      </c>
      <c r="BK26" s="66">
        <f>(BM27*BK27)+(BM28*BK28)+(BM31*BK31)+(BM32*BK32)+(BM33*BK33)+(BM34*BK34)+(BM35*BK35)+(BM36*BK36)</f>
        <v>0</v>
      </c>
      <c r="BL26" s="176">
        <f>(BM27*BL27)+(BM28*BL28)+(BM31*BL31)+(BM32*BL32)+(BM33*BL33)+(BM34*BL34)+(BM35*BL35)+(BM36*BL36)</f>
        <v>0</v>
      </c>
      <c r="BM26" s="455"/>
      <c r="BN26" s="457"/>
      <c r="BP26" s="479"/>
      <c r="BQ26" s="159" t="s">
        <v>80</v>
      </c>
      <c r="BR26" s="175">
        <f>(BX27*BR27)+(BX28*BR28)+(BX31*BR31)+(BX32*BR32)+(BX33*BR33)+(BX34*BR34)+(BX35*BR35)+(BX36*BR36)</f>
        <v>170</v>
      </c>
      <c r="BS26" s="66">
        <f>(BX27*BS27)+(BX28*BS28)+(BX31*BS31)+(BX32*BS32)+(BX33*BS33)+(BX34*BS34)+(BX35*BS35)+(BX36*BS36)</f>
        <v>95</v>
      </c>
      <c r="BT26" s="66">
        <f>(BX27*BT27)+(BX28*BT28)+(BX31*BT31)+(BX32*BT32)+(BX33*BT33)+(BX34*BT34)+(BX35*BT35)+(BX36*BT36)</f>
        <v>31</v>
      </c>
      <c r="BU26" s="66">
        <f>(BX27*BU27)+(BX28*BU28)+(BX31*BU31)+(BX32*BU32)+(BX33*BU33)+(BX34*BU34)+(BX35*BU35)+(BX36*BU36)</f>
        <v>0</v>
      </c>
      <c r="BV26" s="66">
        <f>(BX27*BV27)+(BX28*BV28)+(BX31*BV31)+(BX32*BV32)+(BX33*BV33)+(BX34*BV34)+(BX35*BV35)+(BX36*BV36)</f>
        <v>0</v>
      </c>
      <c r="BW26" s="176">
        <f>(BX27*BW27)+(BX28*BW28)+(BX31*BW31)+(BX32*BW32)+(BX33*BW33)+(BX34*BW34)+(BX35*BW35)+(BX36*BW36)</f>
        <v>0</v>
      </c>
      <c r="BX26" s="455"/>
      <c r="BY26" s="457"/>
      <c r="CA26" s="479"/>
      <c r="CB26" s="153" t="s">
        <v>94</v>
      </c>
      <c r="CC26" s="145">
        <f>-DSUM(CB45:CG89,CG45,WORK!$C$1:$C$2)</f>
        <v>555</v>
      </c>
      <c r="CD26" s="146">
        <f>-DSUM(CB45:CG89,CG45,WORK!$G$1:$G$2)</f>
        <v>510</v>
      </c>
      <c r="CE26" s="146">
        <f>-DSUM(CB45:CG89,CG45,WORK!$K$1:$K$2)</f>
        <v>275</v>
      </c>
      <c r="CF26" s="146">
        <f>-DSUM(CB45:CG89,CG45,WORK!$O$1:$O$2)</f>
        <v>0</v>
      </c>
      <c r="CG26" s="146">
        <f>-DSUM(CB45:CG89,CG45,WORK!$S$1:$S$2)</f>
        <v>0</v>
      </c>
      <c r="CH26" s="147">
        <f>-DSUM(CB45:CG89,CG45,WORK!$W$1:$W$2)</f>
        <v>0</v>
      </c>
      <c r="CI26" s="483"/>
      <c r="CJ26" s="483"/>
      <c r="CL26" s="479"/>
      <c r="CM26" s="159" t="s">
        <v>80</v>
      </c>
      <c r="CN26" s="175">
        <f>(CT27*CN27)+(CT28*CN28)+(CT31*CN31)+(CT32*CN32)+(CT33*CN33)+(CT34*CN34)+(CT35*CN35)+(CT36*CN36)</f>
        <v>0</v>
      </c>
      <c r="CO26" s="66">
        <f>(CT27*CO27)+(CT28*CO28)+(CT31*CO31)+(CT32*CO32)+(CT33*CO33)+(CT34*CO34)+(CT35*CO35)+(CT36*CO36)</f>
        <v>87</v>
      </c>
      <c r="CP26" s="66">
        <f>(CT27*CP27)+(CT28*CP28)+(CT31*CP31)+(CT32*CP32)+(CT33*CP33)+(CT34*CP34)+(CT35*CP35)+(CT36*CP36)</f>
        <v>13</v>
      </c>
      <c r="CQ26" s="66">
        <f>(CT27*CQ27)+(CT28*CQ28)+(CT31*CQ31)+(CT32*CQ32)+(CT33*CQ33)+(CT34*CQ34)+(CT35*CQ35)+(CT36*CQ36)</f>
        <v>0</v>
      </c>
      <c r="CR26" s="66">
        <f>(CT27*CR27)+(CT28*CR28)+(CT31*CR31)+(CT32*CR32)+(CT33*CR33)+(CT34*CR34)+(CT35*CR35)+(CT36*CR36)</f>
        <v>0</v>
      </c>
      <c r="CS26" s="176">
        <f>(CT27*CS27)+(CT28*CS28)+(CT31*CS31)+(CT32*CS32)+(CT33*CS33)+(CT34*CS34)+(CT35*CS35)+(CT36*CS36)</f>
        <v>0</v>
      </c>
      <c r="CT26" s="455"/>
      <c r="CU26" s="457"/>
      <c r="CW26" s="479"/>
      <c r="CX26" s="153" t="s">
        <v>94</v>
      </c>
      <c r="CY26" s="145">
        <f>-DSUM(CX45:DC89,DC45,WORK!$C$1:$C$2)</f>
        <v>185</v>
      </c>
      <c r="CZ26" s="146">
        <f>-DSUM(CX45:DC89,DC45,WORK!$G$1:$G$2)</f>
        <v>120</v>
      </c>
      <c r="DA26" s="146">
        <f>-DSUM(CX45:DC89,DC45,WORK!$K$1:$K$2)</f>
        <v>335</v>
      </c>
      <c r="DB26" s="146">
        <f>-DSUM(CX45:DC89,DC45,WORK!$O$1:$O$2)</f>
        <v>0</v>
      </c>
      <c r="DC26" s="146">
        <f>-DSUM(CX45:DC89,DC45,WORK!$S$1:$S$2)</f>
        <v>0</v>
      </c>
      <c r="DD26" s="147">
        <f>-DSUM(CX45:DC89,DC45,WORK!$W$1:$W$2)</f>
        <v>0</v>
      </c>
      <c r="DE26" s="483"/>
      <c r="DF26" s="483"/>
      <c r="DH26" s="479"/>
      <c r="DI26" s="159" t="s">
        <v>80</v>
      </c>
      <c r="DJ26" s="175">
        <f>(DP27*DJ27)+(DP28*DJ28)+(DP31*DJ31)+(DP32*DJ32)+(DP33*DJ33)+(DP34*DJ34)+(DP35*DJ35)+(DP36*DJ36)</f>
        <v>82</v>
      </c>
      <c r="DK26" s="66">
        <f>(DP27*DK27)+(DP28*DK28)+(DP31*DK31)+(DP32*DK32)+(DP33*DK33)+(DP34*DK34)+(DP35*DK35)+(DP36*DK36)</f>
        <v>20</v>
      </c>
      <c r="DL26" s="66">
        <f>(DP27*DL27)+(DP28*DL28)+(DP31*DL31)+(DP32*DL32)+(DP33*DL33)+(DP34*DL34)+(DP35*DL35)+(DP36*DL36)</f>
        <v>13</v>
      </c>
      <c r="DM26" s="66">
        <f>(DP27*DM27)+(DP28*DM28)+(DP31*DM31)+(DP32*DM32)+(DP33*DM33)+(DP34*DM34)+(DP35*DM35)+(DP36*DM36)</f>
        <v>0</v>
      </c>
      <c r="DN26" s="66">
        <f>(DP27*DN27)+(DP28*DN28)+(DP31*DN31)+(DP32*DN32)+(DP33*DN33)+(DP34*DN34)+(DP35*DN35)+(DP36*DN36)</f>
        <v>0</v>
      </c>
      <c r="DO26" s="176">
        <f>(DP27*DO27)+(DP28*DO28)+(DP31*DO31)+(DP32*DO32)+(DP33*DO33)+(DP34*DO34)+(DP35*DO35)+(DP36*DO36)</f>
        <v>0</v>
      </c>
      <c r="DP26" s="512"/>
      <c r="DQ26" s="543"/>
      <c r="DS26" s="479"/>
      <c r="DT26" s="153" t="s">
        <v>94</v>
      </c>
      <c r="DU26" s="145">
        <f>-DSUM(DT45:DY89,DY45,WORK!$C$1:$C$2)</f>
        <v>90</v>
      </c>
      <c r="DV26" s="146">
        <f>-DSUM(DT45:DY89,DY45,WORK!$G$1:$G$2)</f>
        <v>100</v>
      </c>
      <c r="DW26" s="146">
        <f>-DSUM(DT45:DY89,DY45,WORK!$K$1:$K$2)</f>
        <v>80</v>
      </c>
      <c r="DX26" s="146">
        <f>-DSUM(DT45:DY89,DY45,WORK!$O$1:$O$2)</f>
        <v>0</v>
      </c>
      <c r="DY26" s="146">
        <f>-DSUM(DT45:DY89,DY45,WORK!$S$1:$S$2)</f>
        <v>0</v>
      </c>
      <c r="DZ26" s="147">
        <f>-DSUM(DT45:DY89,DY45,WORK!$W$1:$W$2)</f>
        <v>0</v>
      </c>
      <c r="EA26" s="483"/>
      <c r="EB26" s="483"/>
      <c r="ED26" s="479"/>
      <c r="EE26" s="159" t="s">
        <v>80</v>
      </c>
      <c r="EF26" s="175">
        <f>(EL27*EF27)+(EL28*EF28)+(EL31*EF31)+(EL32*EF32)+(EL33*EF33)+(EL34*EF34)+(EL35*EF35)+(EL36*EF36)</f>
        <v>72</v>
      </c>
      <c r="EG26" s="66">
        <f>(EL27*EG27)+(EL28*EG28)+(EL31*EG31)+(EL32*EG32)+(EL33*EG33)+(EL34*EG34)+(EL35*EG35)+(EL36*EG36)</f>
        <v>20</v>
      </c>
      <c r="EH26" s="66">
        <f>(EL27*EH27)+(EL28*EH28)+(EL31*EH31)+(EL32*EH32)+(EL33*EH33)+(EL34*EH34)+(EL35*EH35)+(EL36*EH36)</f>
        <v>0</v>
      </c>
      <c r="EI26" s="66">
        <f>(EL27*EI27)+(EL28*EI28)+(EL31*EI31)+(EL32*EI32)+(EL33*EI33)+(EL34*EI34)+(EL35*EI35)+(EL36*EI36)</f>
        <v>0</v>
      </c>
      <c r="EJ26" s="66">
        <f>(EL27*EJ27)+(EL28*EJ28)+(EL31*EJ31)+(EL32*EJ32)+(EL33*EJ33)+(EL34*EJ34)+(EL35*EJ35)+(EL36*EJ36)</f>
        <v>0</v>
      </c>
      <c r="EK26" s="176">
        <f>(EL27*EK27)+(EL28*EK28)+(EL31*EK31)+(EL32*EK32)+(EL33*EK33)+(EL34*EK34)+(EL35*EK35)+(EL36*EK36)</f>
        <v>0</v>
      </c>
      <c r="EL26" s="512"/>
      <c r="EM26" s="543"/>
      <c r="EO26" s="479"/>
      <c r="EP26" s="153" t="s">
        <v>94</v>
      </c>
      <c r="EQ26" s="145">
        <f>-DSUM(EP45:EU89,EU45,WORK!$C$1:$C$2)</f>
        <v>80</v>
      </c>
      <c r="ER26" s="146">
        <f>-DSUM(EP45:EU89,EU45,WORK!$G$1:$G$2)</f>
        <v>0</v>
      </c>
      <c r="ES26" s="146">
        <f>-DSUM(EP45:EU89,EU45,WORK!$K$1:$K$2)</f>
        <v>280</v>
      </c>
      <c r="ET26" s="146">
        <f>-DSUM(EP45:EU89,EU45,WORK!$O$1:$O$2)</f>
        <v>0</v>
      </c>
      <c r="EU26" s="146">
        <f>-DSUM(EP45:EU89,EU45,WORK!$S$1:$S$2)</f>
        <v>0</v>
      </c>
      <c r="EV26" s="147">
        <f>-DSUM(EP45:EU89,EU45,WORK!$W$1:$W$2)</f>
        <v>0</v>
      </c>
      <c r="EW26" s="483"/>
      <c r="EX26" s="483"/>
      <c r="EZ26" s="479"/>
      <c r="FA26" s="159" t="s">
        <v>80</v>
      </c>
      <c r="FB26" s="175">
        <f>(FH27*FB27)+(FH28*FB28)+(FH31*FB31)+(FH32*FB32)+(FH33*FB33)+(FH34*FB34)+(FH35*FB35)+(FH36*FB36)</f>
        <v>0</v>
      </c>
      <c r="FC26" s="66">
        <f>(FH27*FC27)+(FH28*FC28)+(FH31*FC31)+(FH32*FC32)+(FH33*FC33)+(FH34*FC34)+(FH35*FC35)+(FH36*FC36)</f>
        <v>0</v>
      </c>
      <c r="FD26" s="66">
        <f>(FH27*FD27)+(FH28*FD28)+(FH31*FD31)+(FH32*FD32)+(FH33*FD33)+(FH34*FD34)+(FH35*FD35)+(FH36*FD36)</f>
        <v>0</v>
      </c>
      <c r="FE26" s="66">
        <f>(FH27*FE27)+(FH28*FE28)+(FH31*FE31)+(FH32*FE32)+(FH33*FE33)+(FH34*FE34)+(FH35*FE35)+(FH36*FE36)</f>
        <v>0</v>
      </c>
      <c r="FF26" s="66">
        <f>(FH27*FF27)+(FH28*FF28)+(FH31*FF31)+(FH32*FF32)+(FH33*FF33)+(FH34*FF34)+(FH35*FF35)+(FH36*FF36)</f>
        <v>0</v>
      </c>
      <c r="FG26" s="176">
        <f>(FH27*FG27)+(FH28*FG28)+(FH31*FG31)+(FH32*FG32)+(FH33*FG33)+(FH34*FG34)+(FH35*FG35)+(FH36*FG36)</f>
        <v>0</v>
      </c>
      <c r="FH26" s="512"/>
      <c r="FI26" s="543"/>
      <c r="FK26" s="510"/>
      <c r="FL26" s="153" t="s">
        <v>94</v>
      </c>
      <c r="FM26" s="145">
        <f>-DSUM(FL45:FQ89,FQ45,WORK!$C$1:$C$2)</f>
        <v>320</v>
      </c>
      <c r="FN26" s="146">
        <f>-DSUM(FL45:FQ89,FQ45,WORK!$G$1:$G$2)</f>
        <v>360</v>
      </c>
      <c r="FO26" s="146">
        <f>-DSUM(FL45:FQ89,FQ45,WORK!$K$1:$K$2)</f>
        <v>0</v>
      </c>
      <c r="FP26" s="146">
        <f>-DSUM(FL45:FQ89,FQ45,WORK!$O$1:$O$2)</f>
        <v>0</v>
      </c>
      <c r="FQ26" s="146">
        <f>-DSUM(FL45:FQ89,FQ45,WORK!$S$1:$S$2)</f>
        <v>0</v>
      </c>
      <c r="FR26" s="147">
        <f>-DSUM(FL45:FQ89,FQ45,WORK!$W$1:$W$2)</f>
        <v>0</v>
      </c>
      <c r="FS26" s="544"/>
      <c r="FT26" s="544"/>
    </row>
    <row r="27" spans="2:176" ht="13.5" customHeight="1">
      <c r="B27" s="479"/>
      <c r="C27" s="223" t="s">
        <v>44</v>
      </c>
      <c r="D27" s="225">
        <f>DSUM(C45:H89,E45,WORK!$B$1:$C$2)+O27</f>
        <v>3</v>
      </c>
      <c r="E27" s="217">
        <f>DSUM(C45:H89,E45,WORK!$F$1:$G$2)+P27</f>
        <v>0</v>
      </c>
      <c r="F27" s="217">
        <f>DSUM(C45:H89,E45,WORK!$J$1:$K$2)+Q27</f>
        <v>0</v>
      </c>
      <c r="G27" s="217">
        <f>DSUM(C45:H89,E45,WORK!$N$1:$O$2)+R27</f>
        <v>0</v>
      </c>
      <c r="H27" s="217">
        <f>DSUM(C45:H89,E45,WORK!$R$1:$S$2)+S27</f>
        <v>0</v>
      </c>
      <c r="I27" s="226">
        <f>DSUM(C45:H89,E45,WORK!$V$1:$W$2)+T27</f>
        <v>0</v>
      </c>
      <c r="J27" s="189">
        <f>IF(DMIN(C45:H89,G45,WORK!$B$1:$B$2)=0,V27,DMIN(C45:H89,G45,WORK!$B$1:$B$2))</f>
        <v>75</v>
      </c>
      <c r="K27" s="189">
        <f>IF(SUM(D27:I27)&lt;10,J27,IF(J27&lt;=75,J27+5,IF(J27&lt;=100,J27+10,IF(J27=110,J27+15,J27+25))))</f>
        <v>75</v>
      </c>
      <c r="M27" s="479"/>
      <c r="N27" s="163" t="s">
        <v>44</v>
      </c>
      <c r="O27" s="225">
        <f aca="true" t="shared" si="110" ref="O27:T27">Z27</f>
        <v>3</v>
      </c>
      <c r="P27" s="217">
        <f t="shared" si="110"/>
        <v>0</v>
      </c>
      <c r="Q27" s="217">
        <f t="shared" si="110"/>
        <v>0</v>
      </c>
      <c r="R27" s="217">
        <f t="shared" si="110"/>
        <v>0</v>
      </c>
      <c r="S27" s="217">
        <f t="shared" si="110"/>
        <v>0</v>
      </c>
      <c r="T27" s="226">
        <f t="shared" si="110"/>
        <v>0</v>
      </c>
      <c r="U27" s="88">
        <v>17</v>
      </c>
      <c r="V27" s="180">
        <f>IF(ISBLANK(U27),AG27,IF(U27=0,IF(AG27=30,0,IF(AG27&lt;=80,AG27-5,IF(AG27&lt;=110,AG27-10,IF(AG27=125,AG27-15,AG27-25)))),IF(AG27&lt;=75,AG27+5,IF(AG27&lt;=100,AG27+10,IF(AG27=110,AG27+15,AG27+25)))))</f>
        <v>75</v>
      </c>
      <c r="X27" s="479"/>
      <c r="Y27" s="163" t="s">
        <v>44</v>
      </c>
      <c r="Z27" s="225">
        <f aca="true" t="shared" si="111" ref="Z27:AE27">AK27</f>
        <v>3</v>
      </c>
      <c r="AA27" s="217">
        <f t="shared" si="111"/>
        <v>0</v>
      </c>
      <c r="AB27" s="217">
        <f t="shared" si="111"/>
        <v>0</v>
      </c>
      <c r="AC27" s="217">
        <f t="shared" si="111"/>
        <v>0</v>
      </c>
      <c r="AD27" s="217">
        <f t="shared" si="111"/>
        <v>0</v>
      </c>
      <c r="AE27" s="226">
        <f t="shared" si="111"/>
        <v>0</v>
      </c>
      <c r="AF27" s="88">
        <v>0</v>
      </c>
      <c r="AG27" s="180">
        <f>IF(ISBLANK(AF27),AR27,IF(AF27=0,IF(AR27=30,0,IF(AR27&lt;=80,AR27-5,IF(AR27&lt;=110,AR27-10,IF(AR27=125,AR27-15,AR27-25)))),IF(AR27&lt;=75,AR27+5,IF(AR27&lt;=100,AR27+10,IF(AR27=110,AR27+15,AR27+25)))))</f>
        <v>70</v>
      </c>
      <c r="AI27" s="479"/>
      <c r="AJ27" s="163" t="s">
        <v>44</v>
      </c>
      <c r="AK27" s="436">
        <v>3</v>
      </c>
      <c r="AL27" s="217">
        <f>AW27</f>
        <v>0</v>
      </c>
      <c r="AM27" s="217">
        <f>AX27</f>
        <v>0</v>
      </c>
      <c r="AN27" s="217">
        <f>AY27</f>
        <v>0</v>
      </c>
      <c r="AO27" s="217">
        <f>AZ27</f>
        <v>0</v>
      </c>
      <c r="AP27" s="226">
        <f>BA27</f>
        <v>0</v>
      </c>
      <c r="AQ27" s="88">
        <v>0</v>
      </c>
      <c r="AR27" s="437">
        <v>75</v>
      </c>
      <c r="AT27" s="479"/>
      <c r="AU27" s="223" t="s">
        <v>44</v>
      </c>
      <c r="AV27" s="225">
        <f>DSUM(AU45:AZ89,AW45,WORK!$B$1:$C$2)+BG27</f>
        <v>6</v>
      </c>
      <c r="AW27" s="217">
        <f>DSUM(AU45:AZ89,AW45,WORK!$F$1:$G$2)+BH27</f>
        <v>0</v>
      </c>
      <c r="AX27" s="217">
        <f>DSUM(AU45:AZ89,AW45,WORK!$J$1:$K$2)+BI27</f>
        <v>0</v>
      </c>
      <c r="AY27" s="217">
        <f>DSUM(AU45:AZ89,AW45,WORK!$N$1:$O$2)+BJ27</f>
        <v>0</v>
      </c>
      <c r="AZ27" s="217">
        <f>DSUM(AU45:AZ89,AW45,WORK!$R$1:$S$2)+BK27</f>
        <v>0</v>
      </c>
      <c r="BA27" s="226">
        <f>DSUM(AU45:AZ89,AW45,WORK!$V$1:$W$2)+BL27</f>
        <v>0</v>
      </c>
      <c r="BB27" s="189">
        <f>IF(DMIN(AU45:AZ89,AY45,WORK!$B$1:$B$2)=0,BN27,DMIN(AU45:AZ89,AY45,WORK!$B$1:$B$2))</f>
        <v>110</v>
      </c>
      <c r="BC27" s="189">
        <f>IF(SUM(AV27:BA27)&lt;10,BB27,IF(BB27&lt;=75,BB27+5,IF(BB27&lt;=100,BB27+10,IF(BB27=110,BB27+15,BB27+25))))</f>
        <v>110</v>
      </c>
      <c r="BE27" s="479"/>
      <c r="BF27" s="163" t="s">
        <v>44</v>
      </c>
      <c r="BG27" s="225">
        <f aca="true" t="shared" si="112" ref="BG27:BL27">BR27</f>
        <v>6</v>
      </c>
      <c r="BH27" s="217">
        <f t="shared" si="112"/>
        <v>0</v>
      </c>
      <c r="BI27" s="217">
        <f t="shared" si="112"/>
        <v>0</v>
      </c>
      <c r="BJ27" s="217">
        <f t="shared" si="112"/>
        <v>0</v>
      </c>
      <c r="BK27" s="217">
        <f t="shared" si="112"/>
        <v>0</v>
      </c>
      <c r="BL27" s="226">
        <f t="shared" si="112"/>
        <v>0</v>
      </c>
      <c r="BM27" s="88">
        <v>13</v>
      </c>
      <c r="BN27" s="180">
        <f>IF(ISBLANK(BM27),BY27,IF(BM27=0,IF(BY27=30,0,IF(BY27&lt;=80,BY27-5,IF(BY27&lt;=110,BY27-10,IF(BY27=125,BY27-15,BY27-25)))),IF(BY27&lt;=75,BY27+5,IF(BY27&lt;=100,BY27+10,IF(BY27=110,BY27+15,BY27+25)))))</f>
        <v>110</v>
      </c>
      <c r="BP27" s="479"/>
      <c r="BQ27" s="163" t="s">
        <v>44</v>
      </c>
      <c r="BR27" s="225">
        <f aca="true" t="shared" si="113" ref="BR27:BW27">CC27</f>
        <v>6</v>
      </c>
      <c r="BS27" s="217">
        <f t="shared" si="113"/>
        <v>0</v>
      </c>
      <c r="BT27" s="217">
        <f t="shared" si="113"/>
        <v>0</v>
      </c>
      <c r="BU27" s="217">
        <f t="shared" si="113"/>
        <v>0</v>
      </c>
      <c r="BV27" s="217">
        <f t="shared" si="113"/>
        <v>0</v>
      </c>
      <c r="BW27" s="226">
        <f t="shared" si="113"/>
        <v>0</v>
      </c>
      <c r="BX27" s="88">
        <v>16</v>
      </c>
      <c r="BY27" s="180">
        <f>IF(ISBLANK(BX27),CJ27,IF(BX27=0,IF(CJ27=30,0,IF(CJ27&lt;=80,CJ27-5,IF(CJ27&lt;=110,CJ27-10,IF(CJ27=125,CJ27-15,CJ27-25)))),IF(CJ27&lt;=75,CJ27+5,IF(CJ27&lt;=100,CJ27+10,IF(CJ27=110,CJ27+15,CJ27+25)))))</f>
        <v>100</v>
      </c>
      <c r="CA27" s="479"/>
      <c r="CB27" s="223" t="s">
        <v>44</v>
      </c>
      <c r="CC27" s="225">
        <f>DSUM(CB45:CG89,CD45,WORK!$B$1:$C$2)+CN27</f>
        <v>6</v>
      </c>
      <c r="CD27" s="217">
        <f>DSUM(CB45:CG89,CD45,WORK!$F$1:$G$2)+CO27</f>
        <v>0</v>
      </c>
      <c r="CE27" s="217">
        <f>DSUM(CB45:CG89,CD45,WORK!$J$1:$K$2)+CP27</f>
        <v>0</v>
      </c>
      <c r="CF27" s="217">
        <f>DSUM(CB45:CG89,CD45,WORK!$N$1:$O$2)+CQ27</f>
        <v>0</v>
      </c>
      <c r="CG27" s="217">
        <f>DSUM(CB45:CG89,CD45,WORK!$R$1:$S$2)+CR27</f>
        <v>0</v>
      </c>
      <c r="CH27" s="226">
        <f>DSUM(CB45:CG89,CD45,WORK!$V$1:$W$2)+CS27</f>
        <v>0</v>
      </c>
      <c r="CI27" s="189">
        <f>IF(DMIN(CB45:CG89,CF45,WORK!$B$1:$B$2)=0,CU27,DMIN(CB45:CG89,CF45,WORK!$B$1:$B$2))</f>
        <v>90</v>
      </c>
      <c r="CJ27" s="189">
        <f>IF(SUM(CC27:CH27)&lt;10,CI27,IF(CI27&lt;=75,CI27+5,IF(CI27&lt;=100,CI27+10,IF(CI27=110,CI27+15,CI27+25))))</f>
        <v>90</v>
      </c>
      <c r="CL27" s="479"/>
      <c r="CM27" s="163" t="s">
        <v>44</v>
      </c>
      <c r="CN27" s="225">
        <f aca="true" t="shared" si="114" ref="CN27:CS27">CY27</f>
        <v>5</v>
      </c>
      <c r="CO27" s="217">
        <f t="shared" si="114"/>
        <v>0</v>
      </c>
      <c r="CP27" s="217">
        <f t="shared" si="114"/>
        <v>0</v>
      </c>
      <c r="CQ27" s="217">
        <f t="shared" si="114"/>
        <v>0</v>
      </c>
      <c r="CR27" s="217">
        <f t="shared" si="114"/>
        <v>0</v>
      </c>
      <c r="CS27" s="226">
        <f t="shared" si="114"/>
        <v>0</v>
      </c>
      <c r="CT27" s="88">
        <v>0</v>
      </c>
      <c r="CU27" s="180">
        <f>IF(ISBLANK(CT27),DF27,IF(CT27=0,IF(DF27=30,0,IF(DF27&lt;=80,DF27-5,IF(DF27&lt;=110,DF27-10,IF(DF27=125,DF27-15,DF27-25)))),IF(DF27&lt;=75,DF27+5,IF(DF27&lt;=100,DF27+10,IF(DF27=110,DF27+15,DF27+25)))))</f>
        <v>90</v>
      </c>
      <c r="CW27" s="479"/>
      <c r="CX27" s="223" t="s">
        <v>44</v>
      </c>
      <c r="CY27" s="225">
        <f>DSUM(CX45:DC89,CZ45,WORK!$B$1:$C$2)+DJ27</f>
        <v>5</v>
      </c>
      <c r="CZ27" s="217">
        <f>DSUM(CX45:DC89,CZ45,WORK!$F$1:$G$2)+DK27</f>
        <v>0</v>
      </c>
      <c r="DA27" s="217">
        <f>DSUM(CX45:DC89,CZ45,WORK!$J$1:$K$2)+DL27</f>
        <v>0</v>
      </c>
      <c r="DB27" s="217">
        <f>DSUM(CX45:DC89,CZ45,WORK!$N$1:$O$2)+DM27</f>
        <v>0</v>
      </c>
      <c r="DC27" s="217">
        <f>DSUM(CX45:DC89,CZ45,WORK!$R$1:$S$2)+DN27</f>
        <v>0</v>
      </c>
      <c r="DD27" s="226">
        <f>DSUM(CX45:DC89,CZ45,WORK!$V$1:$W$2)+DO27</f>
        <v>0</v>
      </c>
      <c r="DE27" s="189">
        <f>IF(DMIN(CX45:DC89,DB45,WORK!$B$1:$B$2)=0,DQ27,DMIN(CX45:DC89,DB45,WORK!$B$1:$B$2))</f>
        <v>100</v>
      </c>
      <c r="DF27" s="189">
        <f>IF(SUM(CY27:DD27)&lt;10,DE27,IF(DE27&lt;=75,DE27+5,IF(DE27&lt;=100,DE27+10,IF(DE27=110,DE27+15,DE27+25))))</f>
        <v>100</v>
      </c>
      <c r="DH27" s="479"/>
      <c r="DI27" s="163" t="s">
        <v>44</v>
      </c>
      <c r="DJ27" s="225">
        <f aca="true" t="shared" si="115" ref="DJ27:DO27">DU27</f>
        <v>0</v>
      </c>
      <c r="DK27" s="217">
        <f t="shared" si="115"/>
        <v>0</v>
      </c>
      <c r="DL27" s="217">
        <f t="shared" si="115"/>
        <v>0</v>
      </c>
      <c r="DM27" s="217">
        <f t="shared" si="115"/>
        <v>0</v>
      </c>
      <c r="DN27" s="217">
        <f t="shared" si="115"/>
        <v>0</v>
      </c>
      <c r="DO27" s="226">
        <f t="shared" si="115"/>
        <v>0</v>
      </c>
      <c r="DP27" s="88"/>
      <c r="DQ27" s="180">
        <f>IF(ISBLANK(DP27),EB27,IF(DP27=0,IF(EB27=30,0,IF(EB27&lt;=80,EB27-5,IF(EB27&lt;=110,EB27-10,IF(EB27=125,EB27-15,EB27-25)))),IF(EB27&lt;=75,EB27+5,IF(EB27&lt;=100,EB27+10,IF(EB27=110,EB27+15,EB27+25)))))</f>
        <v>0</v>
      </c>
      <c r="DS27" s="479"/>
      <c r="DT27" s="223" t="s">
        <v>44</v>
      </c>
      <c r="DU27" s="225">
        <f>DSUM(DT45:DY89,DV45,WORK!$B$1:$C$2)+EF27</f>
        <v>0</v>
      </c>
      <c r="DV27" s="217">
        <f>DSUM(DT45:DY89,DV45,WORK!$F$1:$G$2)+EG27</f>
        <v>0</v>
      </c>
      <c r="DW27" s="217">
        <f>DSUM(DT45:DY89,DV45,WORK!$J$1:$K$2)+EH27</f>
        <v>0</v>
      </c>
      <c r="DX27" s="217">
        <f>DSUM(DT45:DY89,DV45,WORK!$N$1:$O$2)+EI27</f>
        <v>0</v>
      </c>
      <c r="DY27" s="217">
        <f>DSUM(DT45:DY89,DV45,WORK!$R$1:$S$2)+EJ27</f>
        <v>0</v>
      </c>
      <c r="DZ27" s="226">
        <f>DSUM(DT45:DY89,DV45,WORK!$V$1:$W$2)+EK27</f>
        <v>0</v>
      </c>
      <c r="EA27" s="189">
        <f>IF(DMIN(DT45:DY89,DX45,WORK!$B$1:$B$2)=0,EM27,DMIN(DT45:DY89,DX45,WORK!$B$1:$B$2))</f>
        <v>0</v>
      </c>
      <c r="EB27" s="189">
        <f>IF(SUM(DU27:DZ27)&lt;10,EA27,IF(EA27&lt;=75,EA27+5,IF(EA27&lt;=100,EA27+10,IF(EA27=110,EA27+15,EA27+25))))</f>
        <v>0</v>
      </c>
      <c r="ED27" s="479"/>
      <c r="EE27" s="163" t="s">
        <v>44</v>
      </c>
      <c r="EF27" s="225">
        <f aca="true" t="shared" si="116" ref="EF27:EK27">EQ27</f>
        <v>0</v>
      </c>
      <c r="EG27" s="217">
        <f t="shared" si="116"/>
        <v>0</v>
      </c>
      <c r="EH27" s="217">
        <f t="shared" si="116"/>
        <v>0</v>
      </c>
      <c r="EI27" s="217">
        <f t="shared" si="116"/>
        <v>0</v>
      </c>
      <c r="EJ27" s="217">
        <f t="shared" si="116"/>
        <v>0</v>
      </c>
      <c r="EK27" s="226">
        <f t="shared" si="116"/>
        <v>0</v>
      </c>
      <c r="EL27" s="88"/>
      <c r="EM27" s="180">
        <f>IF(ISBLANK(EL27),EX27,IF(EL27=0,IF(EX27=30,0,IF(EX27&lt;=80,EX27-5,IF(EX27&lt;=110,EX27-10,IF(EX27=125,EX27-15,EX27-25)))),IF(EX27&lt;=75,EX27+5,IF(EX27&lt;=100,EX27+10,IF(EX27=110,EX27+15,EX27+25)))))</f>
        <v>0</v>
      </c>
      <c r="EO27" s="479"/>
      <c r="EP27" s="223" t="s">
        <v>44</v>
      </c>
      <c r="EQ27" s="225">
        <f>DSUM(EP45:EU89,ER45,WORK!$B$1:$C$2)+FB27</f>
        <v>0</v>
      </c>
      <c r="ER27" s="217">
        <f>DSUM(EP45:EU89,ER45,WORK!$F$1:$G$2)+FC27</f>
        <v>0</v>
      </c>
      <c r="ES27" s="217">
        <f>DSUM(EP45:EU89,ER45,WORK!$J$1:$K$2)+FD27</f>
        <v>0</v>
      </c>
      <c r="ET27" s="217">
        <f>DSUM(EP45:EU89,ER45,WORK!$N$1:$O$2)+FE27</f>
        <v>0</v>
      </c>
      <c r="EU27" s="217">
        <f>DSUM(EP45:EU89,ER45,WORK!$R$1:$S$2)+FF27</f>
        <v>0</v>
      </c>
      <c r="EV27" s="226">
        <f>DSUM(EP45:EU89,ER45,WORK!$V$1:$W$2)+FG27</f>
        <v>0</v>
      </c>
      <c r="EW27" s="189">
        <f>IF(DMIN(EP45:EU89,ET45,WORK!$B$1:$B$2)=0,FI27,DMIN(EP45:EU89,ET45,WORK!$B$1:$B$2))</f>
        <v>0</v>
      </c>
      <c r="EX27" s="189">
        <f>IF(SUM(EQ27:EV27)&lt;10,EW27,IF(EW27&lt;=75,EW27+5,IF(EW27&lt;=100,EW27+10,IF(EW27=110,EW27+15,EW27+25))))</f>
        <v>0</v>
      </c>
      <c r="EZ27" s="479"/>
      <c r="FA27" s="163" t="s">
        <v>44</v>
      </c>
      <c r="FB27" s="225">
        <f aca="true" t="shared" si="117" ref="FB27:FG27">FM27</f>
        <v>0</v>
      </c>
      <c r="FC27" s="217">
        <f t="shared" si="117"/>
        <v>0</v>
      </c>
      <c r="FD27" s="217">
        <f t="shared" si="117"/>
        <v>0</v>
      </c>
      <c r="FE27" s="217">
        <f t="shared" si="117"/>
        <v>0</v>
      </c>
      <c r="FF27" s="217">
        <f t="shared" si="117"/>
        <v>0</v>
      </c>
      <c r="FG27" s="226">
        <f t="shared" si="117"/>
        <v>0</v>
      </c>
      <c r="FH27" s="88"/>
      <c r="FI27" s="180">
        <f>IF(ISBLANK(FH27),FT27,IF(FH27=0,IF(FT27=30,0,IF(FT27&lt;=80,FT27-5,IF(FT27&lt;=110,FT27-10,IF(FT27=125,FT27-15,FT27-25)))),IF(FT27&lt;=75,FT27+5,IF(FT27&lt;=100,FT27+10,IF(FT27=110,FT27+15,FT27+25)))))</f>
        <v>0</v>
      </c>
      <c r="FK27" s="510"/>
      <c r="FL27" s="42" t="s">
        <v>44</v>
      </c>
      <c r="FM27" s="225">
        <f>DSUM(FL45:FQ89,FN45,WORK!$B$1:$C$2)</f>
        <v>0</v>
      </c>
      <c r="FN27" s="217">
        <f>DSUM(FL45:FQ89,FN45,WORK!$F$1:$G$2)</f>
        <v>0</v>
      </c>
      <c r="FO27" s="217">
        <f>DSUM(FL45:FQ89,FN45,WORK!$J$1:$K$2)</f>
        <v>0</v>
      </c>
      <c r="FP27" s="217">
        <f>DSUM(FL45:FQ89,FN45,WORK!$N$1:$O$2)</f>
        <v>0</v>
      </c>
      <c r="FQ27" s="217">
        <f>DSUM(FL45:FQ89,FN45,WORK!$R$1:$S$2)</f>
        <v>0</v>
      </c>
      <c r="FR27" s="226">
        <f>DSUM(FL45:FQ89,FN45,WORK!$V$1:$W$2)</f>
        <v>0</v>
      </c>
      <c r="FS27" s="189">
        <f>DMIN(FL45:FQ89,FP45,WORK!$B$1:$B$2)</f>
        <v>0</v>
      </c>
      <c r="FT27" s="189">
        <f>IF(SUM(FM27:FR27)&lt;10,FS27,IF(FS27&lt;=75,FS27+5,IF(FS27&lt;=100,FS27+10,IF(FS27=110,FS27+15,FS27+25))))</f>
        <v>0</v>
      </c>
    </row>
    <row r="28" spans="2:176" ht="13.5">
      <c r="B28" s="479"/>
      <c r="C28" s="221" t="s">
        <v>50</v>
      </c>
      <c r="D28" s="227">
        <f>DSUM(C45:H89,E45,WORK!$B$3:$C$4)+O28+O30</f>
        <v>3</v>
      </c>
      <c r="E28" s="218">
        <f>DSUM(C45:H89,E45,WORK!$F$3:$G$4)+P28+P30</f>
        <v>6</v>
      </c>
      <c r="F28" s="218">
        <f>DSUM(C45:H89,E45,WORK!$J$3:$K$4)+Q28+Q30</f>
        <v>1</v>
      </c>
      <c r="G28" s="218">
        <f>DSUM(C45:H89,E45,WORK!$N$3:$O$4)+R28+R30</f>
        <v>0</v>
      </c>
      <c r="H28" s="218">
        <f>DSUM(C45:H89,E45,WORK!$R$3:$S$4)+S28+S30</f>
        <v>0</v>
      </c>
      <c r="I28" s="228">
        <f>DSUM(C45:H89,E45,WORK!$V$3:$W$4)+T28+T30</f>
        <v>0</v>
      </c>
      <c r="J28" s="190">
        <f>IF(DMIN(C45:H89,G45,WORK!$B$3:$B$4)=0,V28,DMIN(C45:H89,G45,WORK!$B$3:$B$4))</f>
        <v>100</v>
      </c>
      <c r="K28" s="190">
        <f>IF(SUM(D28:I28)&lt;10,J28,IF(J28&lt;=75,J28+5,IF(J28&lt;=100,J28+10,IF(J28=110,J28+15,J28+25))))</f>
        <v>110</v>
      </c>
      <c r="M28" s="479"/>
      <c r="N28" s="182" t="s">
        <v>50</v>
      </c>
      <c r="O28" s="275">
        <f aca="true" t="shared" si="118" ref="O28:T28">Z28+O29</f>
        <v>3</v>
      </c>
      <c r="P28" s="219">
        <f t="shared" si="118"/>
        <v>6</v>
      </c>
      <c r="Q28" s="219">
        <f t="shared" si="118"/>
        <v>1</v>
      </c>
      <c r="R28" s="219">
        <f t="shared" si="118"/>
        <v>0</v>
      </c>
      <c r="S28" s="219">
        <f t="shared" si="118"/>
        <v>0</v>
      </c>
      <c r="T28" s="276">
        <f t="shared" si="118"/>
        <v>0</v>
      </c>
      <c r="U28" s="274">
        <v>76</v>
      </c>
      <c r="V28" s="183">
        <f>IF(ISBLANK(U28),AG28,IF(U28=0,IF(AG28=30,0,IF(AG28&lt;=80,AG28-5,IF(AG28&lt;=110,AG28-10,IF(AG28=125,AG28-15,AG28-25)))),IF(AG28&lt;=75,AG28+5,IF(AG28&lt;=100,AG28+10,IF(AG28=110,AG28+15,AG28+25)))))</f>
        <v>100</v>
      </c>
      <c r="X28" s="479"/>
      <c r="Y28" s="182" t="s">
        <v>50</v>
      </c>
      <c r="Z28" s="275">
        <f aca="true" t="shared" si="119" ref="Z28:AE28">AK28+Z29</f>
        <v>3</v>
      </c>
      <c r="AA28" s="219">
        <f t="shared" si="119"/>
        <v>6</v>
      </c>
      <c r="AB28" s="219">
        <f t="shared" si="119"/>
        <v>1</v>
      </c>
      <c r="AC28" s="219">
        <f t="shared" si="119"/>
        <v>0</v>
      </c>
      <c r="AD28" s="219">
        <f t="shared" si="119"/>
        <v>0</v>
      </c>
      <c r="AE28" s="276">
        <f t="shared" si="119"/>
        <v>0</v>
      </c>
      <c r="AF28" s="274">
        <v>0</v>
      </c>
      <c r="AG28" s="183">
        <f>IF(ISBLANK(AF28),AR28,IF(AF28=0,IF(AR28=30,0,IF(AR28&lt;=80,AR28-5,IF(AR28&lt;=110,AR28-10,IF(AR28=125,AR28-15,AR28-25)))),IF(AR28&lt;=75,AR28+5,IF(AR28&lt;=100,AR28+10,IF(AR28=110,AR28+15,AR28+25)))))</f>
        <v>90</v>
      </c>
      <c r="AI28" s="479"/>
      <c r="AJ28" s="182" t="s">
        <v>50</v>
      </c>
      <c r="AK28" s="275">
        <f aca="true" t="shared" si="120" ref="AK28:AP28">AV28+AK29</f>
        <v>3</v>
      </c>
      <c r="AL28" s="219">
        <f t="shared" si="120"/>
        <v>6</v>
      </c>
      <c r="AM28" s="219">
        <f t="shared" si="120"/>
        <v>1</v>
      </c>
      <c r="AN28" s="219">
        <f t="shared" si="120"/>
        <v>0</v>
      </c>
      <c r="AO28" s="219">
        <f t="shared" si="120"/>
        <v>0</v>
      </c>
      <c r="AP28" s="276">
        <f t="shared" si="120"/>
        <v>0</v>
      </c>
      <c r="AQ28" s="274">
        <v>0</v>
      </c>
      <c r="AR28" s="183">
        <f>IF(ISBLANK(AQ28),BC28,IF(AQ28=0,IF(BC28=30,0,IF(BC28&lt;=80,BC28-5,IF(BC28&lt;=110,BC28-10,IF(BC28=125,BC28-15,BC28-25)))),IF(BC28&lt;=75,BC28+5,IF(BC28&lt;=100,BC28+10,IF(BC28=110,BC28+15,BC28+25)))))</f>
        <v>100</v>
      </c>
      <c r="AT28" s="479"/>
      <c r="AU28" s="221" t="s">
        <v>50</v>
      </c>
      <c r="AV28" s="227">
        <f>DSUM(AU45:AZ89,AW45,WORK!$B$3:$C$4)+BG28+BG30</f>
        <v>3</v>
      </c>
      <c r="AW28" s="218">
        <f>DSUM(AU45:AZ89,AW45,WORK!$F$3:$G$4)+BH28+BH30</f>
        <v>6</v>
      </c>
      <c r="AX28" s="218">
        <f>DSUM(AU45:AZ89,AW45,WORK!$J$3:$K$4)+BI28+BI30</f>
        <v>1</v>
      </c>
      <c r="AY28" s="218">
        <f>DSUM(AU45:AZ89,AW45,WORK!$N$3:$O$4)+BJ28+BJ30</f>
        <v>0</v>
      </c>
      <c r="AZ28" s="218">
        <f>DSUM(AU45:AZ89,AW45,WORK!$R$3:$S$4)+BK28+BK30</f>
        <v>0</v>
      </c>
      <c r="BA28" s="228">
        <f>DSUM(AU45:AZ89,AW45,WORK!$V$3:$W$4)+BL28+BL30</f>
        <v>0</v>
      </c>
      <c r="BB28" s="190">
        <f>IF(DMIN(AU45:AZ89,AY45,WORK!$B$3:$B$4)=0,BN28,DMIN(AU45:AZ89,AY45,WORK!$B$3:$B$4))</f>
        <v>100</v>
      </c>
      <c r="BC28" s="190">
        <f>IF(SUM(AV28:BA28)&lt;10,BB28,IF(BB28&lt;=75,BB28+5,IF(BB28&lt;=100,BB28+10,IF(BB28=110,BB28+15,BB28+25))))</f>
        <v>110</v>
      </c>
      <c r="BE28" s="479"/>
      <c r="BF28" s="182" t="s">
        <v>50</v>
      </c>
      <c r="BG28" s="275">
        <f aca="true" t="shared" si="121" ref="BG28:BL28">BR28+BG29</f>
        <v>2</v>
      </c>
      <c r="BH28" s="219">
        <f t="shared" si="121"/>
        <v>5</v>
      </c>
      <c r="BI28" s="219">
        <f t="shared" si="121"/>
        <v>2</v>
      </c>
      <c r="BJ28" s="219">
        <f t="shared" si="121"/>
        <v>0</v>
      </c>
      <c r="BK28" s="219">
        <f t="shared" si="121"/>
        <v>0</v>
      </c>
      <c r="BL28" s="276">
        <f t="shared" si="121"/>
        <v>0</v>
      </c>
      <c r="BM28" s="274">
        <v>14</v>
      </c>
      <c r="BN28" s="434">
        <v>110</v>
      </c>
      <c r="BP28" s="479"/>
      <c r="BQ28" s="182" t="s">
        <v>50</v>
      </c>
      <c r="BR28" s="275">
        <f aca="true" t="shared" si="122" ref="BR28:BW28">CC28+BR29</f>
        <v>2</v>
      </c>
      <c r="BS28" s="219">
        <f t="shared" si="122"/>
        <v>5</v>
      </c>
      <c r="BT28" s="219">
        <f t="shared" si="122"/>
        <v>1</v>
      </c>
      <c r="BU28" s="219">
        <f t="shared" si="122"/>
        <v>0</v>
      </c>
      <c r="BV28" s="219">
        <f t="shared" si="122"/>
        <v>0</v>
      </c>
      <c r="BW28" s="276">
        <f t="shared" si="122"/>
        <v>0</v>
      </c>
      <c r="BX28" s="274">
        <v>19</v>
      </c>
      <c r="BY28" s="183">
        <f>IF(ISBLANK(BX28),CJ28,IF(BX28=0,IF(CJ28=30,0,IF(CJ28&lt;=80,CJ28-5,IF(CJ28&lt;=110,CJ28-10,IF(CJ28=125,CJ28-15,CJ28-25)))),IF(CJ28&lt;=75,CJ28+5,IF(CJ28&lt;=100,CJ28+10,IF(CJ28=110,CJ28+15,CJ28+25)))))</f>
        <v>110</v>
      </c>
      <c r="CA28" s="479"/>
      <c r="CB28" s="221" t="s">
        <v>50</v>
      </c>
      <c r="CC28" s="227">
        <f>DSUM(CB45:CG89,CD45,WORK!$B$3:$C$4)+CN28+CN30</f>
        <v>2</v>
      </c>
      <c r="CD28" s="218">
        <f>DSUM(CB45:CG89,CD45,WORK!$F$3:$G$4)+CO28+CO30</f>
        <v>5</v>
      </c>
      <c r="CE28" s="218">
        <f>DSUM(CB45:CG89,CD45,WORK!$J$3:$K$4)+CP28+CP30</f>
        <v>1</v>
      </c>
      <c r="CF28" s="218">
        <f>DSUM(CB45:CG89,CD45,WORK!$N$3:$O$4)+CQ28+CQ30</f>
        <v>0</v>
      </c>
      <c r="CG28" s="218">
        <f>DSUM(CB45:CG89,CD45,WORK!$R$3:$S$4)+CR28+CR30</f>
        <v>0</v>
      </c>
      <c r="CH28" s="228">
        <f>DSUM(CB45:CG89,CD45,WORK!$V$3:$W$4)+CS28+CS30</f>
        <v>0</v>
      </c>
      <c r="CI28" s="190">
        <f>IF(DMIN(CB45:CG89,CF45,WORK!$B$3:$B$4)=0,CU28,DMIN(CB45:CG89,CF45,WORK!$B$3:$B$4))</f>
        <v>100</v>
      </c>
      <c r="CJ28" s="190">
        <f>IF(SUM(CC28:CH28)&lt;10,CI28,IF(CI28&lt;=75,CI28+5,IF(CI28&lt;=100,CI28+10,IF(CI28=110,CI28+15,CI28+25))))</f>
        <v>100</v>
      </c>
      <c r="CL28" s="479"/>
      <c r="CM28" s="182" t="s">
        <v>50</v>
      </c>
      <c r="CN28" s="275">
        <f aca="true" t="shared" si="123" ref="CN28:CS28">CY28+CN29</f>
        <v>0</v>
      </c>
      <c r="CO28" s="219">
        <f t="shared" si="123"/>
        <v>5</v>
      </c>
      <c r="CP28" s="219">
        <f t="shared" si="123"/>
        <v>1</v>
      </c>
      <c r="CQ28" s="219">
        <f t="shared" si="123"/>
        <v>0</v>
      </c>
      <c r="CR28" s="219">
        <f t="shared" si="123"/>
        <v>0</v>
      </c>
      <c r="CS28" s="276">
        <f t="shared" si="123"/>
        <v>0</v>
      </c>
      <c r="CT28" s="274">
        <v>13</v>
      </c>
      <c r="CU28" s="183">
        <f>IF(ISBLANK(CT28),DF28,IF(CT28=0,IF(DF28=30,0,IF(DF28&lt;=80,DF28-5,IF(DF28&lt;=110,DF28-10,IF(DF28=125,DF28-15,DF28-25)))),IF(DF28&lt;=75,DF28+5,IF(DF28&lt;=100,DF28+10,IF(DF28=110,DF28+15,DF28+25)))))</f>
        <v>100</v>
      </c>
      <c r="CW28" s="479"/>
      <c r="CX28" s="221" t="s">
        <v>50</v>
      </c>
      <c r="CY28" s="227">
        <f>DSUM(CX45:DC89,CZ45,WORK!$B$3:$C$4)+DJ28+DJ30</f>
        <v>0</v>
      </c>
      <c r="CZ28" s="218">
        <f>DSUM(CX45:DC89,CZ45,WORK!$F$3:$G$4)+DK28+DK30</f>
        <v>2</v>
      </c>
      <c r="DA28" s="218">
        <f>DSUM(CX45:DC89,CZ45,WORK!$J$3:$K$4)+DL28+DL30</f>
        <v>1</v>
      </c>
      <c r="DB28" s="218">
        <f>DSUM(CX45:DC89,CZ45,WORK!$N$3:$O$4)+DM28+DM30</f>
        <v>0</v>
      </c>
      <c r="DC28" s="218">
        <f>DSUM(CX45:DC89,CZ45,WORK!$R$3:$S$4)+DN28+DN30</f>
        <v>0</v>
      </c>
      <c r="DD28" s="228">
        <f>DSUM(CX45:DC89,CZ45,WORK!$V$3:$W$4)+DO28+DO30</f>
        <v>0</v>
      </c>
      <c r="DE28" s="190">
        <f>IF(DMIN(CX45:DC89,DB45,WORK!$B$3:$B$4)=0,DQ28,DMIN(CX45:DC89,DB45,WORK!$B$3:$B$4))</f>
        <v>90</v>
      </c>
      <c r="DF28" s="190">
        <f>IF(SUM(CY28:DD28)&lt;10,DE28,IF(DE28&lt;=75,DE28+5,IF(DE28&lt;=100,DE28+10,IF(DE28=110,DE28+15,DE28+25))))</f>
        <v>90</v>
      </c>
      <c r="DH28" s="479"/>
      <c r="DI28" s="182" t="s">
        <v>50</v>
      </c>
      <c r="DJ28" s="275">
        <f aca="true" t="shared" si="124" ref="DJ28:DO28">DU28+DJ29</f>
        <v>0</v>
      </c>
      <c r="DK28" s="219">
        <f t="shared" si="124"/>
        <v>1</v>
      </c>
      <c r="DL28" s="219">
        <f t="shared" si="124"/>
        <v>0</v>
      </c>
      <c r="DM28" s="219">
        <f t="shared" si="124"/>
        <v>0</v>
      </c>
      <c r="DN28" s="219">
        <f t="shared" si="124"/>
        <v>0</v>
      </c>
      <c r="DO28" s="276">
        <f t="shared" si="124"/>
        <v>0</v>
      </c>
      <c r="DP28" s="274"/>
      <c r="DQ28" s="183">
        <f>IF(ISBLANK(DP28),EB28,IF(DP28=0,IF(EB28=30,0,IF(EB28&lt;=80,EB28-5,IF(EB28&lt;=110,EB28-10,IF(EB28=125,EB28-15,EB28-25)))),IF(EB28&lt;=75,EB28+5,IF(EB28&lt;=100,EB28+10,IF(EB28=110,EB28+15,EB28+25)))))</f>
        <v>100</v>
      </c>
      <c r="DS28" s="479"/>
      <c r="DT28" s="221" t="s">
        <v>50</v>
      </c>
      <c r="DU28" s="227">
        <f>DSUM(DT45:DY89,DV45,WORK!$B$3:$C$4)+EF28+EF30</f>
        <v>0</v>
      </c>
      <c r="DV28" s="218">
        <f>DSUM(DT45:DY89,DV45,WORK!$F$3:$G$4)+EG28+EG30</f>
        <v>1</v>
      </c>
      <c r="DW28" s="218">
        <f>DSUM(DT45:DY89,DV45,WORK!$J$3:$K$4)+EH28+EH30</f>
        <v>0</v>
      </c>
      <c r="DX28" s="218">
        <f>DSUM(DT45:DY89,DV45,WORK!$N$3:$O$4)+EI28+EI30</f>
        <v>0</v>
      </c>
      <c r="DY28" s="218">
        <f>DSUM(DT45:DY89,DV45,WORK!$R$3:$S$4)+EJ28+EJ30</f>
        <v>0</v>
      </c>
      <c r="DZ28" s="228">
        <f>DSUM(DT45:DY89,DV45,WORK!$V$3:$W$4)+EK28+EK30</f>
        <v>0</v>
      </c>
      <c r="EA28" s="190">
        <f>IF(DMIN(DT45:DY89,DX45,WORK!$B$3:$B$4)=0,EM28,DMIN(DT45:DY89,DX45,WORK!$B$3:$B$4))</f>
        <v>100</v>
      </c>
      <c r="EB28" s="190">
        <f>IF(SUM(DU28:DZ28)&lt;10,EA28,IF(EA28&lt;=75,EA28+5,IF(EA28&lt;=100,EA28+10,IF(EA28=110,EA28+15,EA28+25))))</f>
        <v>100</v>
      </c>
      <c r="ED28" s="479"/>
      <c r="EE28" s="182" t="s">
        <v>50</v>
      </c>
      <c r="EF28" s="275">
        <f aca="true" t="shared" si="125" ref="EF28:EK28">EQ28+EF29</f>
        <v>0</v>
      </c>
      <c r="EG28" s="219">
        <f t="shared" si="125"/>
        <v>0</v>
      </c>
      <c r="EH28" s="219">
        <f t="shared" si="125"/>
        <v>0</v>
      </c>
      <c r="EI28" s="219">
        <f t="shared" si="125"/>
        <v>0</v>
      </c>
      <c r="EJ28" s="219">
        <f t="shared" si="125"/>
        <v>0</v>
      </c>
      <c r="EK28" s="276">
        <f t="shared" si="125"/>
        <v>0</v>
      </c>
      <c r="EL28" s="274"/>
      <c r="EM28" s="183">
        <f>IF(ISBLANK(EL28),EX28,IF(EL28=0,IF(EX28=30,0,IF(EX28&lt;=80,EX28-5,IF(EX28&lt;=110,EX28-10,IF(EX28=125,EX28-15,EX28-25)))),IF(EX28&lt;=75,EX28+5,IF(EX28&lt;=100,EX28+10,IF(EX28=110,EX28+15,EX28+25)))))</f>
        <v>100</v>
      </c>
      <c r="EO28" s="479"/>
      <c r="EP28" s="221" t="s">
        <v>50</v>
      </c>
      <c r="EQ28" s="227">
        <f>DSUM(EP45:EU89,ER45,WORK!$B$3:$C$4)+FB28+FB30</f>
        <v>0</v>
      </c>
      <c r="ER28" s="218">
        <f>DSUM(EP45:EU89,ER45,WORK!$F$3:$G$4)+FC28+FC30</f>
        <v>0</v>
      </c>
      <c r="ES28" s="218">
        <f>DSUM(EP45:EU89,ER45,WORK!$J$3:$K$4)+FD28+FD30</f>
        <v>0</v>
      </c>
      <c r="ET28" s="218">
        <f>DSUM(EP45:EU89,ER45,WORK!$N$3:$O$4)+FE28+FE30</f>
        <v>0</v>
      </c>
      <c r="EU28" s="218">
        <f>DSUM(EP45:EU89,ER45,WORK!$R$3:$S$4)+FF28+FF30</f>
        <v>0</v>
      </c>
      <c r="EV28" s="228">
        <f>DSUM(EP45:EU89,ER45,WORK!$V$3:$W$4)+FG28+FG30</f>
        <v>0</v>
      </c>
      <c r="EW28" s="190">
        <f>IF(DMIN(EP45:EU89,ET45,WORK!$B$3:$B$4)=0,FI28,DMIN(EP45:EU89,ET45,WORK!$B$3:$B$4))</f>
        <v>100</v>
      </c>
      <c r="EX28" s="190">
        <f>IF(SUM(EQ28:EV28)&lt;10,EW28,IF(EW28&lt;=75,EW28+5,IF(EW28&lt;=100,EW28+10,IF(EW28=110,EW28+15,EW28+25))))</f>
        <v>100</v>
      </c>
      <c r="EZ28" s="479"/>
      <c r="FA28" s="182" t="s">
        <v>50</v>
      </c>
      <c r="FB28" s="275">
        <f aca="true" t="shared" si="126" ref="FB28:FG28">FM28+FB29</f>
        <v>0</v>
      </c>
      <c r="FC28" s="219">
        <f t="shared" si="126"/>
        <v>0</v>
      </c>
      <c r="FD28" s="219">
        <f t="shared" si="126"/>
        <v>0</v>
      </c>
      <c r="FE28" s="219">
        <f t="shared" si="126"/>
        <v>0</v>
      </c>
      <c r="FF28" s="219">
        <f t="shared" si="126"/>
        <v>0</v>
      </c>
      <c r="FG28" s="276">
        <f t="shared" si="126"/>
        <v>0</v>
      </c>
      <c r="FH28" s="274"/>
      <c r="FI28" s="183">
        <f>IF(ISBLANK(FH28),FT28,IF(FH28=0,IF(FT28=30,0,IF(FT28&lt;=80,FT28-5,IF(FT28&lt;=110,FT28-10,IF(FT28=125,FT28-15,FT28-25)))),IF(FT28&lt;=75,FT28+5,IF(FT28&lt;=100,FT28+10,IF(FT28=110,FT28+15,FT28+25)))))</f>
        <v>100</v>
      </c>
      <c r="FK28" s="510"/>
      <c r="FL28" s="43" t="s">
        <v>50</v>
      </c>
      <c r="FM28" s="227">
        <f>DSUM(FL45:FQ89,FN45,WORK!$B$3:$C$4)</f>
        <v>0</v>
      </c>
      <c r="FN28" s="218">
        <f>DSUM(FL45:FQ89,FN45,WORK!$F$3:$G$4)</f>
        <v>0</v>
      </c>
      <c r="FO28" s="218">
        <f>DSUM(FL45:FQ89,FN45,WORK!$J$3:$K$4)</f>
        <v>0</v>
      </c>
      <c r="FP28" s="218">
        <f>DSUM(FL45:FQ89,FN45,WORK!$N$3:$O$4)</f>
        <v>0</v>
      </c>
      <c r="FQ28" s="218">
        <f>DSUM(FL45:FQ89,FN45,WORK!$R$3:$S$4)</f>
        <v>0</v>
      </c>
      <c r="FR28" s="228">
        <f>DSUM(FL45:FQ89,FN45,WORK!$V$3:$W$4)</f>
        <v>0</v>
      </c>
      <c r="FS28" s="190">
        <f>DMIN(FL45:FQ89,FP45,WORK!$B$3:$B$4)</f>
        <v>100</v>
      </c>
      <c r="FT28" s="190">
        <f aca="true" t="shared" si="127" ref="FT28:FT35">IF(SUM(FM28:FR28)&lt;10,FS28,IF(FS28&lt;=75,FS28+5,IF(FS28&lt;=100,FS28+10,IF(FS28=110,FS28+15,FS28+25))))</f>
        <v>100</v>
      </c>
    </row>
    <row r="29" spans="2:176" ht="13.5">
      <c r="B29" s="479"/>
      <c r="C29" s="130"/>
      <c r="D29" s="232"/>
      <c r="E29" s="216"/>
      <c r="F29" s="216"/>
      <c r="G29" s="216"/>
      <c r="H29" s="216"/>
      <c r="I29" s="233"/>
      <c r="J29" s="201"/>
      <c r="K29" s="201"/>
      <c r="M29" s="479"/>
      <c r="N29" s="268" t="s">
        <v>101</v>
      </c>
      <c r="O29" s="271"/>
      <c r="P29" s="272"/>
      <c r="Q29" s="272"/>
      <c r="R29" s="272"/>
      <c r="S29" s="272"/>
      <c r="T29" s="273"/>
      <c r="U29" s="269"/>
      <c r="V29" s="270"/>
      <c r="X29" s="479"/>
      <c r="Y29" s="268" t="s">
        <v>101</v>
      </c>
      <c r="Z29" s="271"/>
      <c r="AA29" s="272"/>
      <c r="AB29" s="272"/>
      <c r="AC29" s="272"/>
      <c r="AD29" s="272"/>
      <c r="AE29" s="273"/>
      <c r="AF29" s="269"/>
      <c r="AG29" s="270"/>
      <c r="AI29" s="479"/>
      <c r="AJ29" s="268" t="s">
        <v>101</v>
      </c>
      <c r="AK29" s="271"/>
      <c r="AL29" s="272"/>
      <c r="AM29" s="272"/>
      <c r="AN29" s="272"/>
      <c r="AO29" s="272"/>
      <c r="AP29" s="273"/>
      <c r="AQ29" s="269"/>
      <c r="AR29" s="270"/>
      <c r="AT29" s="479"/>
      <c r="AU29" s="130"/>
      <c r="AV29" s="232"/>
      <c r="AW29" s="216"/>
      <c r="AX29" s="216"/>
      <c r="AY29" s="216"/>
      <c r="AZ29" s="216"/>
      <c r="BA29" s="233"/>
      <c r="BB29" s="201"/>
      <c r="BC29" s="201"/>
      <c r="BE29" s="479"/>
      <c r="BF29" s="268" t="s">
        <v>101</v>
      </c>
      <c r="BG29" s="271"/>
      <c r="BH29" s="272"/>
      <c r="BI29" s="272">
        <v>1</v>
      </c>
      <c r="BJ29" s="272"/>
      <c r="BK29" s="272"/>
      <c r="BL29" s="273"/>
      <c r="BM29" s="269"/>
      <c r="BN29" s="270"/>
      <c r="BP29" s="479"/>
      <c r="BQ29" s="268" t="s">
        <v>101</v>
      </c>
      <c r="BR29" s="271"/>
      <c r="BS29" s="272"/>
      <c r="BT29" s="272"/>
      <c r="BU29" s="272"/>
      <c r="BV29" s="272"/>
      <c r="BW29" s="273"/>
      <c r="BX29" s="269"/>
      <c r="BY29" s="270"/>
      <c r="CA29" s="479"/>
      <c r="CB29" s="130"/>
      <c r="CC29" s="232"/>
      <c r="CD29" s="216"/>
      <c r="CE29" s="216"/>
      <c r="CF29" s="216"/>
      <c r="CG29" s="216"/>
      <c r="CH29" s="233"/>
      <c r="CI29" s="201"/>
      <c r="CJ29" s="201"/>
      <c r="CL29" s="479"/>
      <c r="CM29" s="268" t="s">
        <v>101</v>
      </c>
      <c r="CN29" s="271"/>
      <c r="CO29" s="272">
        <v>3</v>
      </c>
      <c r="CP29" s="272"/>
      <c r="CQ29" s="272"/>
      <c r="CR29" s="272"/>
      <c r="CS29" s="273"/>
      <c r="CT29" s="269"/>
      <c r="CU29" s="270"/>
      <c r="CW29" s="479"/>
      <c r="CX29" s="130"/>
      <c r="CY29" s="232"/>
      <c r="CZ29" s="216"/>
      <c r="DA29" s="216"/>
      <c r="DB29" s="216"/>
      <c r="DC29" s="216"/>
      <c r="DD29" s="233"/>
      <c r="DE29" s="201"/>
      <c r="DF29" s="201"/>
      <c r="DH29" s="479"/>
      <c r="DI29" s="268" t="s">
        <v>101</v>
      </c>
      <c r="DJ29" s="271"/>
      <c r="DK29" s="272"/>
      <c r="DL29" s="272"/>
      <c r="DM29" s="272"/>
      <c r="DN29" s="272"/>
      <c r="DO29" s="273"/>
      <c r="DP29" s="269"/>
      <c r="DQ29" s="270"/>
      <c r="DS29" s="479"/>
      <c r="DT29" s="130"/>
      <c r="DU29" s="232"/>
      <c r="DV29" s="216"/>
      <c r="DW29" s="216"/>
      <c r="DX29" s="216"/>
      <c r="DY29" s="216"/>
      <c r="DZ29" s="233"/>
      <c r="EA29" s="201"/>
      <c r="EB29" s="201"/>
      <c r="ED29" s="479"/>
      <c r="EE29" s="268" t="s">
        <v>101</v>
      </c>
      <c r="EF29" s="271"/>
      <c r="EG29" s="272"/>
      <c r="EH29" s="272"/>
      <c r="EI29" s="272"/>
      <c r="EJ29" s="272"/>
      <c r="EK29" s="273"/>
      <c r="EL29" s="269"/>
      <c r="EM29" s="270"/>
      <c r="EO29" s="479"/>
      <c r="EP29" s="130"/>
      <c r="EQ29" s="232"/>
      <c r="ER29" s="216"/>
      <c r="ES29" s="216"/>
      <c r="ET29" s="216"/>
      <c r="EU29" s="216"/>
      <c r="EV29" s="233"/>
      <c r="EW29" s="201"/>
      <c r="EX29" s="201"/>
      <c r="EZ29" s="479"/>
      <c r="FA29" s="268" t="s">
        <v>101</v>
      </c>
      <c r="FB29" s="271"/>
      <c r="FC29" s="272"/>
      <c r="FD29" s="272"/>
      <c r="FE29" s="272"/>
      <c r="FF29" s="272"/>
      <c r="FG29" s="273"/>
      <c r="FH29" s="269"/>
      <c r="FI29" s="270"/>
      <c r="FK29" s="510"/>
      <c r="FL29" s="130"/>
      <c r="FM29" s="232"/>
      <c r="FN29" s="216"/>
      <c r="FO29" s="216"/>
      <c r="FP29" s="216"/>
      <c r="FQ29" s="216"/>
      <c r="FR29" s="233"/>
      <c r="FS29" s="201"/>
      <c r="FT29" s="201"/>
    </row>
    <row r="30" spans="2:176" ht="13.5">
      <c r="B30" s="479"/>
      <c r="C30" s="130"/>
      <c r="D30" s="232"/>
      <c r="E30" s="216"/>
      <c r="F30" s="216"/>
      <c r="G30" s="216"/>
      <c r="H30" s="216"/>
      <c r="I30" s="233"/>
      <c r="J30" s="201"/>
      <c r="K30" s="201"/>
      <c r="M30" s="479"/>
      <c r="N30" s="184" t="s">
        <v>100</v>
      </c>
      <c r="O30" s="185"/>
      <c r="P30" s="186"/>
      <c r="Q30" s="186"/>
      <c r="R30" s="186"/>
      <c r="S30" s="186"/>
      <c r="T30" s="187"/>
      <c r="U30" s="192"/>
      <c r="V30" s="193"/>
      <c r="X30" s="479"/>
      <c r="Y30" s="184" t="s">
        <v>100</v>
      </c>
      <c r="Z30" s="185"/>
      <c r="AA30" s="186"/>
      <c r="AB30" s="186"/>
      <c r="AC30" s="186"/>
      <c r="AD30" s="186"/>
      <c r="AE30" s="187"/>
      <c r="AF30" s="192"/>
      <c r="AG30" s="193"/>
      <c r="AI30" s="479"/>
      <c r="AJ30" s="184" t="s">
        <v>100</v>
      </c>
      <c r="AK30" s="185"/>
      <c r="AL30" s="186"/>
      <c r="AM30" s="186"/>
      <c r="AN30" s="186"/>
      <c r="AO30" s="186"/>
      <c r="AP30" s="187"/>
      <c r="AQ30" s="192"/>
      <c r="AR30" s="193"/>
      <c r="AT30" s="479"/>
      <c r="AU30" s="130"/>
      <c r="AV30" s="232"/>
      <c r="AW30" s="216"/>
      <c r="AX30" s="216"/>
      <c r="AY30" s="216"/>
      <c r="AZ30" s="216"/>
      <c r="BA30" s="233"/>
      <c r="BB30" s="201"/>
      <c r="BC30" s="201"/>
      <c r="BE30" s="479"/>
      <c r="BF30" s="184" t="s">
        <v>100</v>
      </c>
      <c r="BG30" s="185"/>
      <c r="BH30" s="186"/>
      <c r="BI30" s="186"/>
      <c r="BJ30" s="186"/>
      <c r="BK30" s="186"/>
      <c r="BL30" s="187"/>
      <c r="BM30" s="192"/>
      <c r="BN30" s="193"/>
      <c r="BP30" s="479"/>
      <c r="BQ30" s="184" t="s">
        <v>100</v>
      </c>
      <c r="BR30" s="185"/>
      <c r="BS30" s="186"/>
      <c r="BT30" s="186"/>
      <c r="BU30" s="186"/>
      <c r="BV30" s="186"/>
      <c r="BW30" s="187"/>
      <c r="BX30" s="192"/>
      <c r="BY30" s="193"/>
      <c r="CA30" s="479"/>
      <c r="CB30" s="130"/>
      <c r="CC30" s="232"/>
      <c r="CD30" s="216"/>
      <c r="CE30" s="216"/>
      <c r="CF30" s="216"/>
      <c r="CG30" s="216"/>
      <c r="CH30" s="233"/>
      <c r="CI30" s="201"/>
      <c r="CJ30" s="201"/>
      <c r="CL30" s="479"/>
      <c r="CM30" s="184" t="s">
        <v>100</v>
      </c>
      <c r="CN30" s="185">
        <v>1</v>
      </c>
      <c r="CO30" s="186"/>
      <c r="CP30" s="186"/>
      <c r="CQ30" s="186"/>
      <c r="CR30" s="186"/>
      <c r="CS30" s="187"/>
      <c r="CT30" s="192"/>
      <c r="CU30" s="193"/>
      <c r="CW30" s="479"/>
      <c r="CX30" s="130"/>
      <c r="CY30" s="232"/>
      <c r="CZ30" s="216"/>
      <c r="DA30" s="216"/>
      <c r="DB30" s="216"/>
      <c r="DC30" s="216"/>
      <c r="DD30" s="233"/>
      <c r="DE30" s="201"/>
      <c r="DF30" s="201"/>
      <c r="DH30" s="479"/>
      <c r="DI30" s="184" t="s">
        <v>100</v>
      </c>
      <c r="DJ30" s="185"/>
      <c r="DK30" s="186"/>
      <c r="DL30" s="186"/>
      <c r="DM30" s="186"/>
      <c r="DN30" s="186"/>
      <c r="DO30" s="187"/>
      <c r="DP30" s="192"/>
      <c r="DQ30" s="193"/>
      <c r="DS30" s="479"/>
      <c r="DT30" s="130"/>
      <c r="DU30" s="232"/>
      <c r="DV30" s="216"/>
      <c r="DW30" s="216"/>
      <c r="DX30" s="216"/>
      <c r="DY30" s="216"/>
      <c r="DZ30" s="233"/>
      <c r="EA30" s="201"/>
      <c r="EB30" s="201"/>
      <c r="ED30" s="479"/>
      <c r="EE30" s="184" t="s">
        <v>100</v>
      </c>
      <c r="EF30" s="185"/>
      <c r="EG30" s="186"/>
      <c r="EH30" s="186"/>
      <c r="EI30" s="186"/>
      <c r="EJ30" s="186"/>
      <c r="EK30" s="187"/>
      <c r="EL30" s="192"/>
      <c r="EM30" s="193"/>
      <c r="EO30" s="479"/>
      <c r="EP30" s="130"/>
      <c r="EQ30" s="232"/>
      <c r="ER30" s="216"/>
      <c r="ES30" s="216"/>
      <c r="ET30" s="216"/>
      <c r="EU30" s="216"/>
      <c r="EV30" s="233"/>
      <c r="EW30" s="201"/>
      <c r="EX30" s="201"/>
      <c r="EZ30" s="479"/>
      <c r="FA30" s="184" t="s">
        <v>100</v>
      </c>
      <c r="FB30" s="185"/>
      <c r="FC30" s="186"/>
      <c r="FD30" s="186"/>
      <c r="FE30" s="186"/>
      <c r="FF30" s="186"/>
      <c r="FG30" s="187"/>
      <c r="FH30" s="192"/>
      <c r="FI30" s="193"/>
      <c r="FK30" s="510"/>
      <c r="FL30" s="130"/>
      <c r="FM30" s="232"/>
      <c r="FN30" s="216"/>
      <c r="FO30" s="216"/>
      <c r="FP30" s="216"/>
      <c r="FQ30" s="216"/>
      <c r="FR30" s="233"/>
      <c r="FS30" s="201"/>
      <c r="FT30" s="201"/>
    </row>
    <row r="31" spans="2:176" ht="13.5">
      <c r="B31" s="479"/>
      <c r="C31" s="160" t="s">
        <v>46</v>
      </c>
      <c r="D31" s="227">
        <f>DSUM(C45:H89,E45,WORK!$B$5:$C$6)+O31</f>
        <v>0</v>
      </c>
      <c r="E31" s="218">
        <f>DSUM(C45:H89,E45,WORK!$F$5:$G$6)+P31</f>
        <v>0</v>
      </c>
      <c r="F31" s="218">
        <f>DSUM(C45:H89,E45,WORK!$J$5:$K$6)+Q31</f>
        <v>0</v>
      </c>
      <c r="G31" s="218">
        <f>DSUM(C45:H89,E45,WORK!$N$5:$O$6)+R31</f>
        <v>0</v>
      </c>
      <c r="H31" s="218">
        <f>DSUM(C45:H89,E45,WORK!$R$5:$S$6)+S31</f>
        <v>0</v>
      </c>
      <c r="I31" s="228">
        <f>DSUM(C45:H89,E45,WORK!$V$5:$W$6)+T31</f>
        <v>0</v>
      </c>
      <c r="J31" s="190">
        <f>IF(DMIN(C45:H89,G45,WORK!$B$5:$B$6)=0,V31,DMIN(C45:H89,G45,WORK!$B$5:$B$6))</f>
        <v>0</v>
      </c>
      <c r="K31" s="190">
        <f>IF(SUM(D31:I31)&lt;10,J31,IF(J31&lt;=75,J31+5,IF(J31&lt;=100,J31+10,IF(J31=110,J31+15,J31+25))))</f>
        <v>0</v>
      </c>
      <c r="M31" s="479"/>
      <c r="N31" s="160" t="s">
        <v>46</v>
      </c>
      <c r="O31" s="227">
        <f aca="true" t="shared" si="128" ref="O31:O36">Z31</f>
        <v>0</v>
      </c>
      <c r="P31" s="218">
        <f aca="true" t="shared" si="129" ref="P31:P36">AA31</f>
        <v>0</v>
      </c>
      <c r="Q31" s="218">
        <f aca="true" t="shared" si="130" ref="Q31:Q36">AB31</f>
        <v>0</v>
      </c>
      <c r="R31" s="218">
        <f aca="true" t="shared" si="131" ref="R31:R36">AC31</f>
        <v>0</v>
      </c>
      <c r="S31" s="218">
        <f aca="true" t="shared" si="132" ref="S31:S36">AD31</f>
        <v>0</v>
      </c>
      <c r="T31" s="228">
        <f aca="true" t="shared" si="133" ref="T31:T36">AE31</f>
        <v>0</v>
      </c>
      <c r="U31" s="91"/>
      <c r="V31" s="181">
        <f aca="true" t="shared" si="134" ref="V31:V36">IF(ISBLANK(U31),AG31,IF(U31=0,IF(AG31=30,0,IF(AG31&lt;=80,AG31-5,IF(AG31&lt;=110,AG31-10,IF(AG31=125,AG31-15,AG31-25)))),IF(AG31&lt;=75,AG31+5,IF(AG31&lt;=100,AG31+10,IF(AG31=110,AG31+15,AG31+25)))))</f>
        <v>0</v>
      </c>
      <c r="X31" s="479"/>
      <c r="Y31" s="160" t="s">
        <v>46</v>
      </c>
      <c r="Z31" s="227">
        <f aca="true" t="shared" si="135" ref="Z31:Z36">AK31</f>
        <v>0</v>
      </c>
      <c r="AA31" s="218">
        <f aca="true" t="shared" si="136" ref="AA31:AA36">AL31</f>
        <v>0</v>
      </c>
      <c r="AB31" s="218">
        <f aca="true" t="shared" si="137" ref="AB31:AB36">AM31</f>
        <v>0</v>
      </c>
      <c r="AC31" s="218">
        <f aca="true" t="shared" si="138" ref="AC31:AC36">AN31</f>
        <v>0</v>
      </c>
      <c r="AD31" s="218">
        <f aca="true" t="shared" si="139" ref="AD31:AD36">AO31</f>
        <v>0</v>
      </c>
      <c r="AE31" s="228">
        <f aca="true" t="shared" si="140" ref="AE31:AE36">AP31</f>
        <v>0</v>
      </c>
      <c r="AF31" s="91"/>
      <c r="AG31" s="181">
        <f aca="true" t="shared" si="141" ref="AG31:AG36">IF(ISBLANK(AF31),AR31,IF(AF31=0,IF(AR31=30,0,IF(AR31&lt;=80,AR31-5,IF(AR31&lt;=110,AR31-10,IF(AR31=125,AR31-15,AR31-25)))),IF(AR31&lt;=75,AR31+5,IF(AR31&lt;=100,AR31+10,IF(AR31=110,AR31+15,AR31+25)))))</f>
        <v>0</v>
      </c>
      <c r="AI31" s="479"/>
      <c r="AJ31" s="160" t="s">
        <v>46</v>
      </c>
      <c r="AK31" s="439">
        <v>0</v>
      </c>
      <c r="AL31" s="440">
        <v>0</v>
      </c>
      <c r="AM31" s="440">
        <v>0</v>
      </c>
      <c r="AN31" s="218">
        <f aca="true" t="shared" si="142" ref="AN31:AN36">AY31</f>
        <v>0</v>
      </c>
      <c r="AO31" s="218">
        <f aca="true" t="shared" si="143" ref="AO31:AO36">AZ31</f>
        <v>0</v>
      </c>
      <c r="AP31" s="228">
        <f aca="true" t="shared" si="144" ref="AP31:AP36">BA31</f>
        <v>0</v>
      </c>
      <c r="AQ31" s="91">
        <v>0</v>
      </c>
      <c r="AR31" s="438">
        <v>0</v>
      </c>
      <c r="AT31" s="479"/>
      <c r="AU31" s="160" t="s">
        <v>46</v>
      </c>
      <c r="AV31" s="227">
        <f>DSUM(AU45:AZ89,AW45,WORK!$B$5:$C$6)+BG31</f>
        <v>4</v>
      </c>
      <c r="AW31" s="218">
        <f>DSUM(AU45:AZ89,AW45,WORK!$F$5:$G$6)+BH31</f>
        <v>1</v>
      </c>
      <c r="AX31" s="218">
        <f>DSUM(AU45:AZ89,AW45,WORK!$J$5:$K$6)+BI31</f>
        <v>1</v>
      </c>
      <c r="AY31" s="218">
        <f>DSUM(AU45:AZ89,AW45,WORK!$N$5:$O$6)+BJ31</f>
        <v>0</v>
      </c>
      <c r="AZ31" s="218">
        <f>DSUM(AU45:AZ89,AW45,WORK!$R$5:$S$6)+BK31</f>
        <v>0</v>
      </c>
      <c r="BA31" s="228">
        <f>DSUM(AU45:AZ89,AW45,WORK!$V$5:$W$6)+BL31</f>
        <v>0</v>
      </c>
      <c r="BB31" s="190">
        <f>IF(DMIN(AU45:AZ89,AY45,WORK!$B$5:$B$6)=0,BN31,DMIN(AU45:AZ89,AY45,WORK!$B$5:$B$6))</f>
        <v>35</v>
      </c>
      <c r="BC31" s="190">
        <f>IF(SUM(AV31:BA31)&lt;10,BB31,IF(BB31&lt;=75,BB31+5,IF(BB31&lt;=100,BB31+10,IF(BB31=110,BB31+15,BB31+25))))</f>
        <v>35</v>
      </c>
      <c r="BE31" s="479"/>
      <c r="BF31" s="160" t="s">
        <v>46</v>
      </c>
      <c r="BG31" s="227">
        <f aca="true" t="shared" si="145" ref="BG31:BG36">BR31</f>
        <v>2</v>
      </c>
      <c r="BH31" s="218">
        <f aca="true" t="shared" si="146" ref="BH31:BH36">BS31</f>
        <v>0</v>
      </c>
      <c r="BI31" s="218">
        <f aca="true" t="shared" si="147" ref="BI31:BI36">BT31</f>
        <v>0</v>
      </c>
      <c r="BJ31" s="218">
        <f aca="true" t="shared" si="148" ref="BJ31:BJ36">BU31</f>
        <v>0</v>
      </c>
      <c r="BK31" s="218">
        <f aca="true" t="shared" si="149" ref="BK31:BK36">BV31</f>
        <v>0</v>
      </c>
      <c r="BL31" s="228">
        <f aca="true" t="shared" si="150" ref="BL31:BL36">BW31</f>
        <v>0</v>
      </c>
      <c r="BM31" s="91">
        <v>0</v>
      </c>
      <c r="BN31" s="181">
        <f aca="true" t="shared" si="151" ref="BN31:BN36">IF(ISBLANK(BM31),BY31,IF(BM31=0,IF(BY31=30,0,IF(BY31&lt;=80,BY31-5,IF(BY31&lt;=110,BY31-10,IF(BY31=125,BY31-15,BY31-25)))),IF(BY31&lt;=75,BY31+5,IF(BY31&lt;=100,BY31+10,IF(BY31=110,BY31+15,BY31+25)))))</f>
        <v>35</v>
      </c>
      <c r="BP31" s="479"/>
      <c r="BQ31" s="160" t="s">
        <v>46</v>
      </c>
      <c r="BR31" s="227">
        <f aca="true" t="shared" si="152" ref="BR31:BR36">CC31</f>
        <v>2</v>
      </c>
      <c r="BS31" s="218">
        <f aca="true" t="shared" si="153" ref="BS31:BS36">CD31</f>
        <v>0</v>
      </c>
      <c r="BT31" s="218">
        <f aca="true" t="shared" si="154" ref="BT31:BT36">CE31</f>
        <v>0</v>
      </c>
      <c r="BU31" s="218">
        <f aca="true" t="shared" si="155" ref="BU31:BU36">CF31</f>
        <v>0</v>
      </c>
      <c r="BV31" s="218">
        <f aca="true" t="shared" si="156" ref="BV31:BV36">CG31</f>
        <v>0</v>
      </c>
      <c r="BW31" s="228">
        <f aca="true" t="shared" si="157" ref="BW31:BW36">CH31</f>
        <v>0</v>
      </c>
      <c r="BX31" s="91">
        <v>0</v>
      </c>
      <c r="BY31" s="181">
        <f aca="true" t="shared" si="158" ref="BY31:BY36">IF(ISBLANK(BX31),CJ31,IF(BX31=0,IF(CJ31=30,0,IF(CJ31&lt;=80,CJ31-5,IF(CJ31&lt;=110,CJ31-10,IF(CJ31=125,CJ31-15,CJ31-25)))),IF(CJ31&lt;=75,CJ31+5,IF(CJ31&lt;=100,CJ31+10,IF(CJ31=110,CJ31+15,CJ31+25)))))</f>
        <v>40</v>
      </c>
      <c r="CA31" s="479"/>
      <c r="CB31" s="160" t="s">
        <v>46</v>
      </c>
      <c r="CC31" s="227">
        <f>DSUM(CB45:CG89,CD45,WORK!$B$5:$C$6)+CN31</f>
        <v>2</v>
      </c>
      <c r="CD31" s="218">
        <f>DSUM(CB45:CG89,CD45,WORK!$F$5:$G$6)+CO31</f>
        <v>0</v>
      </c>
      <c r="CE31" s="218">
        <f>DSUM(CB45:CG89,CD45,WORK!$J$5:$K$6)+CP31</f>
        <v>0</v>
      </c>
      <c r="CF31" s="218">
        <f>DSUM(CB45:CG89,CD45,WORK!$N$5:$O$6)+CQ31</f>
        <v>0</v>
      </c>
      <c r="CG31" s="218">
        <f>DSUM(CB45:CG89,CD45,WORK!$R$5:$S$6)+CR31</f>
        <v>0</v>
      </c>
      <c r="CH31" s="228">
        <f>DSUM(CB45:CG89,CD45,WORK!$V$5:$W$6)+CS31</f>
        <v>0</v>
      </c>
      <c r="CI31" s="190">
        <f>IF(DMIN(CB45:CG89,CF45,WORK!$B$5:$B$6)=0,CU31,DMIN(CB45:CG89,CF45,WORK!$B$5:$B$6))</f>
        <v>45</v>
      </c>
      <c r="CJ31" s="190">
        <f aca="true" t="shared" si="159" ref="CJ31:CJ36">IF(SUM(CC31:CH31)&lt;10,CI31,IF(CI31&lt;=75,CI31+5,IF(CI31&lt;=100,CI31+10,IF(CI31=110,CI31+15,CI31+25))))</f>
        <v>45</v>
      </c>
      <c r="CL31" s="479"/>
      <c r="CM31" s="160" t="s">
        <v>46</v>
      </c>
      <c r="CN31" s="227">
        <f aca="true" t="shared" si="160" ref="CN31:CN36">CY31</f>
        <v>3</v>
      </c>
      <c r="CO31" s="218">
        <f aca="true" t="shared" si="161" ref="CO31:CO36">CZ31</f>
        <v>0</v>
      </c>
      <c r="CP31" s="218">
        <f aca="true" t="shared" si="162" ref="CP31:CP36">DA31</f>
        <v>0</v>
      </c>
      <c r="CQ31" s="218">
        <f aca="true" t="shared" si="163" ref="CQ31:CQ36">DB31</f>
        <v>0</v>
      </c>
      <c r="CR31" s="218">
        <f aca="true" t="shared" si="164" ref="CR31:CR36">DC31</f>
        <v>0</v>
      </c>
      <c r="CS31" s="228">
        <f aca="true" t="shared" si="165" ref="CS31:CS36">DD31</f>
        <v>0</v>
      </c>
      <c r="CT31" s="91">
        <v>0</v>
      </c>
      <c r="CU31" s="181">
        <f aca="true" t="shared" si="166" ref="CU31:CU36">IF(ISBLANK(CT31),DF31,IF(CT31=0,IF(DF31=30,0,IF(DF31&lt;=80,DF31-5,IF(DF31&lt;=110,DF31-10,IF(DF31=125,DF31-15,DF31-25)))),IF(DF31&lt;=75,DF31+5,IF(DF31&lt;=100,DF31+10,IF(DF31=110,DF31+15,DF31+25)))))</f>
        <v>60</v>
      </c>
      <c r="CW31" s="479"/>
      <c r="CX31" s="160" t="s">
        <v>46</v>
      </c>
      <c r="CY31" s="227">
        <f>DSUM(CX45:DC89,CZ45,WORK!$B$5:$C$6)+DJ31</f>
        <v>3</v>
      </c>
      <c r="CZ31" s="218">
        <f>DSUM(CX45:DC89,CZ45,WORK!$F$5:$G$6)+DK31</f>
        <v>0</v>
      </c>
      <c r="DA31" s="218">
        <f>DSUM(CX45:DC89,CZ45,WORK!$J$5:$K$6)+DL31</f>
        <v>0</v>
      </c>
      <c r="DB31" s="218">
        <f>DSUM(CX45:DC89,CZ45,WORK!$N$5:$O$6)+DM31</f>
        <v>0</v>
      </c>
      <c r="DC31" s="218">
        <f>DSUM(CX45:DC89,CZ45,WORK!$R$5:$S$6)+DN31</f>
        <v>0</v>
      </c>
      <c r="DD31" s="228">
        <f>DSUM(CX45:DC89,CZ45,WORK!$V$5:$W$6)+DO31</f>
        <v>0</v>
      </c>
      <c r="DE31" s="190">
        <f>IF(DMIN(CX45:DC89,DB45,WORK!$B$5:$B$6)=0,DQ31,DMIN(CX45:DC89,DB45,WORK!$B$5:$B$6))</f>
        <v>65</v>
      </c>
      <c r="DF31" s="190">
        <f aca="true" t="shared" si="167" ref="DF31:DF36">IF(SUM(CY31:DD31)&lt;10,DE31,IF(DE31&lt;=75,DE31+5,IF(DE31&lt;=100,DE31+10,IF(DE31=110,DE31+15,DE31+25))))</f>
        <v>65</v>
      </c>
      <c r="DH31" s="479"/>
      <c r="DI31" s="160" t="s">
        <v>46</v>
      </c>
      <c r="DJ31" s="227">
        <f aca="true" t="shared" si="168" ref="DJ31:DJ36">DU31</f>
        <v>6</v>
      </c>
      <c r="DK31" s="218">
        <f aca="true" t="shared" si="169" ref="DK31:DK36">DV31</f>
        <v>0</v>
      </c>
      <c r="DL31" s="218">
        <f aca="true" t="shared" si="170" ref="DL31:DL36">DW31</f>
        <v>1</v>
      </c>
      <c r="DM31" s="218">
        <f aca="true" t="shared" si="171" ref="DM31:DM36">DX31</f>
        <v>0</v>
      </c>
      <c r="DN31" s="218">
        <f aca="true" t="shared" si="172" ref="DN31:DN36">DY31</f>
        <v>0</v>
      </c>
      <c r="DO31" s="228">
        <f aca="true" t="shared" si="173" ref="DO31:DO36">DZ31</f>
        <v>0</v>
      </c>
      <c r="DP31" s="91">
        <v>13</v>
      </c>
      <c r="DQ31" s="181">
        <f aca="true" t="shared" si="174" ref="DQ31:DQ36">IF(ISBLANK(DP31),EB31,IF(DP31=0,IF(EB31=30,0,IF(EB31&lt;=80,EB31-5,IF(EB31&lt;=110,EB31-10,IF(EB31=125,EB31-15,EB31-25)))),IF(EB31&lt;=75,EB31+5,IF(EB31&lt;=100,EB31+10,IF(EB31=110,EB31+15,EB31+25)))))</f>
        <v>90</v>
      </c>
      <c r="DS31" s="479"/>
      <c r="DT31" s="160" t="s">
        <v>46</v>
      </c>
      <c r="DU31" s="227">
        <f>DSUM(DT45:DY89,DV45,WORK!$B$5:$C$6)+EF31</f>
        <v>6</v>
      </c>
      <c r="DV31" s="218">
        <f>DSUM(DT45:DY89,DV45,WORK!$F$5:$G$6)+EG31</f>
        <v>0</v>
      </c>
      <c r="DW31" s="218">
        <f>DSUM(DT45:DY89,DV45,WORK!$J$5:$K$6)+EH31</f>
        <v>1</v>
      </c>
      <c r="DX31" s="218">
        <f>DSUM(DT45:DY89,DV45,WORK!$N$5:$O$6)+EI31</f>
        <v>0</v>
      </c>
      <c r="DY31" s="218">
        <f>DSUM(DT45:DY89,DV45,WORK!$R$5:$S$6)+EJ31</f>
        <v>0</v>
      </c>
      <c r="DZ31" s="228">
        <f>DSUM(DT45:DY89,DV45,WORK!$V$5:$W$6)+EK31</f>
        <v>0</v>
      </c>
      <c r="EA31" s="190">
        <f>IF(DMIN(DT45:DY89,DX45,WORK!$B$5:$B$6)=0,EM31,DMIN(DT45:DY89,DX45,WORK!$B$5:$B$6))</f>
        <v>80</v>
      </c>
      <c r="EB31" s="190">
        <f aca="true" t="shared" si="175" ref="EB31:EB36">IF(SUM(DU31:DZ31)&lt;10,EA31,IF(EA31&lt;=75,EA31+5,IF(EA31&lt;=100,EA31+10,IF(EA31=110,EA31+15,EA31+25))))</f>
        <v>80</v>
      </c>
      <c r="ED31" s="479"/>
      <c r="EE31" s="160" t="s">
        <v>46</v>
      </c>
      <c r="EF31" s="227">
        <f aca="true" t="shared" si="176" ref="EF31:EF36">EQ31</f>
        <v>6</v>
      </c>
      <c r="EG31" s="218">
        <f aca="true" t="shared" si="177" ref="EG31:EG36">ER31</f>
        <v>0</v>
      </c>
      <c r="EH31" s="218">
        <f aca="true" t="shared" si="178" ref="EH31:EH36">ES31</f>
        <v>0</v>
      </c>
      <c r="EI31" s="218">
        <f aca="true" t="shared" si="179" ref="EI31:EI36">ET31</f>
        <v>0</v>
      </c>
      <c r="EJ31" s="218">
        <f aca="true" t="shared" si="180" ref="EJ31:EJ36">EU31</f>
        <v>0</v>
      </c>
      <c r="EK31" s="228">
        <f aca="true" t="shared" si="181" ref="EK31:EK36">EV31</f>
        <v>0</v>
      </c>
      <c r="EL31" s="91">
        <v>12</v>
      </c>
      <c r="EM31" s="181">
        <f aca="true" t="shared" si="182" ref="EM31:EM36">IF(ISBLANK(EL31),EX31,IF(EL31=0,IF(EX31=30,0,IF(EX31&lt;=80,EX31-5,IF(EX31&lt;=110,EX31-10,IF(EX31=125,EX31-15,EX31-25)))),IF(EX31&lt;=75,EX31+5,IF(EX31&lt;=100,EX31+10,IF(EX31=110,EX31+15,EX31+25)))))</f>
        <v>80</v>
      </c>
      <c r="EO31" s="479"/>
      <c r="EP31" s="160" t="s">
        <v>46</v>
      </c>
      <c r="EQ31" s="227">
        <f>DSUM(EP45:EU89,ER45,WORK!$B$5:$C$6)+FB31</f>
        <v>6</v>
      </c>
      <c r="ER31" s="218">
        <f>DSUM(EP45:EU89,ER45,WORK!$F$5:$G$6)+FC31</f>
        <v>0</v>
      </c>
      <c r="ES31" s="218">
        <f>DSUM(EP45:EU89,ER45,WORK!$J$5:$K$6)+FD31</f>
        <v>0</v>
      </c>
      <c r="ET31" s="218">
        <f>DSUM(EP45:EU89,ER45,WORK!$N$5:$O$6)+FE31</f>
        <v>0</v>
      </c>
      <c r="EU31" s="218">
        <f>DSUM(EP45:EU89,ER45,WORK!$R$5:$S$6)+FF31</f>
        <v>0</v>
      </c>
      <c r="EV31" s="228">
        <f>DSUM(EP45:EU89,ER45,WORK!$V$5:$W$6)+FG31</f>
        <v>0</v>
      </c>
      <c r="EW31" s="190">
        <f>IF(DMIN(EP45:EU89,ET45,WORK!$B$5:$B$6)=0,FI31,DMIN(EP45:EU89,ET45,WORK!$B$5:$B$6))</f>
        <v>75</v>
      </c>
      <c r="EX31" s="190">
        <f aca="true" t="shared" si="183" ref="EX31:EX36">IF(SUM(EQ31:EV31)&lt;10,EW31,IF(EW31&lt;=75,EW31+5,IF(EW31&lt;=100,EW31+10,IF(EW31=110,EW31+15,EW31+25))))</f>
        <v>75</v>
      </c>
      <c r="EZ31" s="479"/>
      <c r="FA31" s="160" t="s">
        <v>46</v>
      </c>
      <c r="FB31" s="227">
        <f aca="true" t="shared" si="184" ref="FB31:FF36">FM31</f>
        <v>5</v>
      </c>
      <c r="FC31" s="218">
        <f t="shared" si="184"/>
        <v>0</v>
      </c>
      <c r="FD31" s="218">
        <f t="shared" si="184"/>
        <v>0</v>
      </c>
      <c r="FE31" s="218">
        <f t="shared" si="184"/>
        <v>0</v>
      </c>
      <c r="FF31" s="218">
        <f t="shared" si="184"/>
        <v>0</v>
      </c>
      <c r="FG31" s="228">
        <f aca="true" t="shared" si="185" ref="FG31:FG36">FR31</f>
        <v>0</v>
      </c>
      <c r="FH31" s="91">
        <v>0</v>
      </c>
      <c r="FI31" s="181">
        <f aca="true" t="shared" si="186" ref="FI31:FI36">IF(ISBLANK(FH31),FT31,IF(FH31=0,IF(FT31=30,0,IF(FT31&lt;=80,FT31-5,IF(FT31&lt;=110,FT31-10,IF(FT31=125,FT31-15,FT31-25)))),IF(FT31&lt;=75,FT31+5,IF(FT31&lt;=100,FT31+10,IF(FT31=110,FT31+15,FT31+25)))))</f>
        <v>75</v>
      </c>
      <c r="FK31" s="510"/>
      <c r="FL31" s="43" t="s">
        <v>46</v>
      </c>
      <c r="FM31" s="227">
        <f>DSUM(FL45:FQ89,FN45,WORK!$B$5:$C$6)</f>
        <v>5</v>
      </c>
      <c r="FN31" s="218">
        <f>DSUM(FL45:FQ89,FN45,WORK!$F$5:$G$6)</f>
        <v>0</v>
      </c>
      <c r="FO31" s="218">
        <f>DSUM(FL45:FQ89,FN45,WORK!$J$5:$K$6)</f>
        <v>0</v>
      </c>
      <c r="FP31" s="218">
        <f>DSUM(FL45:FQ89,FN45,WORK!$N$5:$O$6)</f>
        <v>0</v>
      </c>
      <c r="FQ31" s="218">
        <f>DSUM(FL45:FQ89,FN45,WORK!$R$5:$S$6)</f>
        <v>0</v>
      </c>
      <c r="FR31" s="228">
        <f>DSUM(FL45:FQ89,FN45,WORK!$V$5:$W$6)</f>
        <v>0</v>
      </c>
      <c r="FS31" s="190">
        <f>DMIN(FL45:FQ89,FP45,WORK!$B$5:$B$6)</f>
        <v>80</v>
      </c>
      <c r="FT31" s="190">
        <f>IF(SUM(FM31:FR31)&lt;10,FS31,IF(FS31&lt;=75,FS31+5,IF(FS31&lt;=100,FS31+10,IF(FS31=110,FS31+15,FS31+25))))</f>
        <v>80</v>
      </c>
    </row>
    <row r="32" spans="2:176" ht="13.5">
      <c r="B32" s="479"/>
      <c r="C32" s="43" t="s">
        <v>47</v>
      </c>
      <c r="D32" s="227">
        <f>DSUM(C45:H89,E45,WORK!$B$7:$C$8)+O32</f>
        <v>3</v>
      </c>
      <c r="E32" s="218">
        <f>DSUM(C45:H89,E45,WORK!$F$7:$G$8)+P32</f>
        <v>0</v>
      </c>
      <c r="F32" s="218">
        <f>DSUM(C45:H89,E45,WORK!$J$7:$K$8)+Q32</f>
        <v>0</v>
      </c>
      <c r="G32" s="218">
        <f>DSUM(C45:H89,E45,WORK!$N$7:$O$8)+R32</f>
        <v>0</v>
      </c>
      <c r="H32" s="218">
        <f>DSUM(C45:H89,E45,WORK!$R$7:$S$8)+S32</f>
        <v>0</v>
      </c>
      <c r="I32" s="228">
        <f>DSUM(C45:H89,E45,WORK!$V$7:$W$8)+T32</f>
        <v>0</v>
      </c>
      <c r="J32" s="190">
        <f>IF(DMIN(C45:H89,G45,WORK!$B$7:$B$8)=0,V32,DMIN(C45:H89,G45,WORK!$B$7:$B$8))</f>
        <v>35</v>
      </c>
      <c r="K32" s="190">
        <f>IF(SUM(D32:I32)&lt;10,J32,IF(J32&lt;=75,J32+5,IF(J32&lt;=100,J32+10,IF(J32=110,J32+15,J32+25))))</f>
        <v>35</v>
      </c>
      <c r="M32" s="479"/>
      <c r="N32" s="43" t="s">
        <v>47</v>
      </c>
      <c r="O32" s="227">
        <f t="shared" si="128"/>
        <v>3</v>
      </c>
      <c r="P32" s="218">
        <f t="shared" si="129"/>
        <v>0</v>
      </c>
      <c r="Q32" s="218">
        <f t="shared" si="130"/>
        <v>0</v>
      </c>
      <c r="R32" s="218">
        <f t="shared" si="131"/>
        <v>0</v>
      </c>
      <c r="S32" s="218">
        <f t="shared" si="132"/>
        <v>0</v>
      </c>
      <c r="T32" s="228">
        <f t="shared" si="133"/>
        <v>0</v>
      </c>
      <c r="U32" s="91">
        <v>102</v>
      </c>
      <c r="V32" s="181">
        <f t="shared" si="134"/>
        <v>35</v>
      </c>
      <c r="X32" s="479"/>
      <c r="Y32" s="43" t="s">
        <v>47</v>
      </c>
      <c r="Z32" s="227">
        <f t="shared" si="135"/>
        <v>3</v>
      </c>
      <c r="AA32" s="218">
        <f t="shared" si="136"/>
        <v>0</v>
      </c>
      <c r="AB32" s="218">
        <f t="shared" si="137"/>
        <v>0</v>
      </c>
      <c r="AC32" s="218">
        <f t="shared" si="138"/>
        <v>0</v>
      </c>
      <c r="AD32" s="218">
        <f t="shared" si="139"/>
        <v>0</v>
      </c>
      <c r="AE32" s="228">
        <f t="shared" si="140"/>
        <v>0</v>
      </c>
      <c r="AF32" s="91">
        <v>0</v>
      </c>
      <c r="AG32" s="181">
        <f t="shared" si="141"/>
        <v>30</v>
      </c>
      <c r="AI32" s="479"/>
      <c r="AJ32" s="43" t="s">
        <v>47</v>
      </c>
      <c r="AK32" s="227">
        <f aca="true" t="shared" si="187" ref="AK32:AM36">AV32</f>
        <v>3</v>
      </c>
      <c r="AL32" s="218">
        <f t="shared" si="187"/>
        <v>0</v>
      </c>
      <c r="AM32" s="218">
        <f t="shared" si="187"/>
        <v>0</v>
      </c>
      <c r="AN32" s="218">
        <f t="shared" si="142"/>
        <v>0</v>
      </c>
      <c r="AO32" s="218">
        <f t="shared" si="143"/>
        <v>0</v>
      </c>
      <c r="AP32" s="228">
        <f t="shared" si="144"/>
        <v>0</v>
      </c>
      <c r="AQ32" s="91">
        <v>0</v>
      </c>
      <c r="AR32" s="181">
        <f>IF(ISBLANK(AQ32),BC32,IF(AQ32=0,IF(BC32=30,0,IF(BC32&lt;=80,BC32-5,IF(BC32&lt;=110,BC32-10,IF(BC32=125,BC32-15,BC32-25)))),IF(BC32&lt;=75,BC32+5,IF(BC32&lt;=100,BC32+10,IF(BC32=110,BC32+15,BC32+25)))))</f>
        <v>35</v>
      </c>
      <c r="AT32" s="479"/>
      <c r="AU32" s="43" t="s">
        <v>47</v>
      </c>
      <c r="AV32" s="227">
        <f>DSUM(AU45:AZ89,AW45,WORK!$B$7:$C$8)+BG32</f>
        <v>3</v>
      </c>
      <c r="AW32" s="218">
        <f>DSUM(AU45:AZ89,AW45,WORK!$F$7:$G$8)+BH32</f>
        <v>0</v>
      </c>
      <c r="AX32" s="218">
        <f>DSUM(AU45:AZ89,AW45,WORK!$J$7:$K$8)+BI32</f>
        <v>0</v>
      </c>
      <c r="AY32" s="218">
        <f>DSUM(AU45:AZ89,AW45,WORK!$N$7:$O$8)+BJ32</f>
        <v>0</v>
      </c>
      <c r="AZ32" s="218">
        <f>DSUM(AU45:AZ89,AW45,WORK!$R$7:$S$8)+BK32</f>
        <v>0</v>
      </c>
      <c r="BA32" s="228">
        <f>DSUM(AU45:AZ89,AW45,WORK!$V$7:$W$8)+BL32</f>
        <v>0</v>
      </c>
      <c r="BB32" s="190">
        <f>IF(DMIN(AU45:AZ89,AY45,WORK!$B$7:$B$8)=0,BN32,DMIN(AU45:AZ89,AY45,WORK!$B$7:$B$8))</f>
        <v>40</v>
      </c>
      <c r="BC32" s="190">
        <f>IF(SUM(AV32:BA32)&lt;10,BB32,IF(BB32&lt;=75,BB32+5,IF(BB32&lt;=100,BB32+10,IF(BB32=110,BB32+15,BB32+25))))</f>
        <v>40</v>
      </c>
      <c r="BE32" s="479"/>
      <c r="BF32" s="43" t="s">
        <v>47</v>
      </c>
      <c r="BG32" s="227">
        <f t="shared" si="145"/>
        <v>0</v>
      </c>
      <c r="BH32" s="218">
        <f t="shared" si="146"/>
        <v>2</v>
      </c>
      <c r="BI32" s="218">
        <f t="shared" si="147"/>
        <v>0</v>
      </c>
      <c r="BJ32" s="218">
        <f t="shared" si="148"/>
        <v>0</v>
      </c>
      <c r="BK32" s="218">
        <f t="shared" si="149"/>
        <v>0</v>
      </c>
      <c r="BL32" s="228">
        <f t="shared" si="150"/>
        <v>0</v>
      </c>
      <c r="BM32" s="91">
        <v>0</v>
      </c>
      <c r="BN32" s="181">
        <f t="shared" si="151"/>
        <v>60</v>
      </c>
      <c r="BP32" s="479"/>
      <c r="BQ32" s="43" t="s">
        <v>47</v>
      </c>
      <c r="BR32" s="227">
        <f t="shared" si="152"/>
        <v>0</v>
      </c>
      <c r="BS32" s="218">
        <f t="shared" si="153"/>
        <v>2</v>
      </c>
      <c r="BT32" s="218">
        <f t="shared" si="154"/>
        <v>0</v>
      </c>
      <c r="BU32" s="218">
        <f t="shared" si="155"/>
        <v>0</v>
      </c>
      <c r="BV32" s="218">
        <f t="shared" si="156"/>
        <v>0</v>
      </c>
      <c r="BW32" s="228">
        <f t="shared" si="157"/>
        <v>0</v>
      </c>
      <c r="BX32" s="91">
        <v>0</v>
      </c>
      <c r="BY32" s="181">
        <f t="shared" si="158"/>
        <v>65</v>
      </c>
      <c r="CA32" s="479"/>
      <c r="CB32" s="43" t="s">
        <v>47</v>
      </c>
      <c r="CC32" s="227">
        <f>DSUM(CB45:CG89,CD45,WORK!$B$7:$C$8)+CN32</f>
        <v>0</v>
      </c>
      <c r="CD32" s="218">
        <f>DSUM(CB45:CG89,CD45,WORK!$F$7:$G$8)+CO32</f>
        <v>2</v>
      </c>
      <c r="CE32" s="218">
        <f>DSUM(CB45:CG89,CD45,WORK!$J$7:$K$8)+CP32</f>
        <v>0</v>
      </c>
      <c r="CF32" s="218">
        <f>DSUM(CB45:CG89,CD45,WORK!$N$7:$O$8)+CQ32</f>
        <v>0</v>
      </c>
      <c r="CG32" s="218">
        <f>DSUM(CB45:CG89,CD45,WORK!$R$7:$S$8)+CR32</f>
        <v>0</v>
      </c>
      <c r="CH32" s="228">
        <f>DSUM(CB45:CG89,CD45,WORK!$V$7:$W$8)+CS32</f>
        <v>0</v>
      </c>
      <c r="CI32" s="190">
        <f>IF(DMIN(CB45:CG89,CF45,WORK!$B$7:$B$8)=0,CU32,DMIN(CB45:CG89,CF45,WORK!$B$7:$B$8))</f>
        <v>70</v>
      </c>
      <c r="CJ32" s="190">
        <f t="shared" si="159"/>
        <v>70</v>
      </c>
      <c r="CL32" s="479"/>
      <c r="CM32" s="43" t="s">
        <v>47</v>
      </c>
      <c r="CN32" s="227">
        <f t="shared" si="160"/>
        <v>0</v>
      </c>
      <c r="CO32" s="218">
        <f t="shared" si="161"/>
        <v>2</v>
      </c>
      <c r="CP32" s="218">
        <f t="shared" si="162"/>
        <v>0</v>
      </c>
      <c r="CQ32" s="218">
        <f t="shared" si="163"/>
        <v>0</v>
      </c>
      <c r="CR32" s="218">
        <f t="shared" si="164"/>
        <v>0</v>
      </c>
      <c r="CS32" s="228">
        <f t="shared" si="165"/>
        <v>0</v>
      </c>
      <c r="CT32" s="91">
        <v>11</v>
      </c>
      <c r="CU32" s="181">
        <f t="shared" si="166"/>
        <v>70</v>
      </c>
      <c r="CW32" s="479"/>
      <c r="CX32" s="43" t="s">
        <v>47</v>
      </c>
      <c r="CY32" s="227">
        <f>DSUM(CX45:DC89,CZ45,WORK!$B$7:$C$8)+DJ32</f>
        <v>0</v>
      </c>
      <c r="CZ32" s="218">
        <f>DSUM(CX45:DC89,CZ45,WORK!$F$7:$G$8)+DK32</f>
        <v>2</v>
      </c>
      <c r="DA32" s="218">
        <f>DSUM(CX45:DC89,CZ45,WORK!$J$7:$K$8)+DL32</f>
        <v>0</v>
      </c>
      <c r="DB32" s="218">
        <f>DSUM(CX45:DC89,CZ45,WORK!$N$7:$O$8)+DM32</f>
        <v>0</v>
      </c>
      <c r="DC32" s="218">
        <f>DSUM(CX45:DC89,CZ45,WORK!$R$7:$S$8)+DN32</f>
        <v>0</v>
      </c>
      <c r="DD32" s="228">
        <f>DSUM(CX45:DC89,CZ45,WORK!$V$7:$W$8)+DO32</f>
        <v>0</v>
      </c>
      <c r="DE32" s="190">
        <f>IF(DMIN(CX45:DC89,DB45,WORK!$B$7:$B$8)=0,DQ32,DMIN(CX45:DC89,DB45,WORK!$B$7:$B$8))</f>
        <v>65</v>
      </c>
      <c r="DF32" s="190">
        <f t="shared" si="167"/>
        <v>65</v>
      </c>
      <c r="DH32" s="479"/>
      <c r="DI32" s="43" t="s">
        <v>47</v>
      </c>
      <c r="DJ32" s="227">
        <f t="shared" si="168"/>
        <v>1</v>
      </c>
      <c r="DK32" s="218">
        <f t="shared" si="169"/>
        <v>5</v>
      </c>
      <c r="DL32" s="218">
        <f t="shared" si="170"/>
        <v>0</v>
      </c>
      <c r="DM32" s="218">
        <f t="shared" si="171"/>
        <v>0</v>
      </c>
      <c r="DN32" s="218">
        <f t="shared" si="172"/>
        <v>0</v>
      </c>
      <c r="DO32" s="228">
        <f t="shared" si="173"/>
        <v>0</v>
      </c>
      <c r="DP32" s="91">
        <v>4</v>
      </c>
      <c r="DQ32" s="181">
        <f t="shared" si="174"/>
        <v>100</v>
      </c>
      <c r="DS32" s="479"/>
      <c r="DT32" s="43" t="s">
        <v>47</v>
      </c>
      <c r="DU32" s="227">
        <f>DSUM(DT45:DY89,DV45,WORK!$B$7:$C$8)+EF32</f>
        <v>1</v>
      </c>
      <c r="DV32" s="218">
        <f>DSUM(DT45:DY89,DV45,WORK!$F$7:$G$8)+EG32</f>
        <v>5</v>
      </c>
      <c r="DW32" s="218">
        <f>DSUM(DT45:DY89,DV45,WORK!$J$7:$K$8)+EH32</f>
        <v>0</v>
      </c>
      <c r="DX32" s="218">
        <f>DSUM(DT45:DY89,DV45,WORK!$N$7:$O$8)+EI32</f>
        <v>0</v>
      </c>
      <c r="DY32" s="218">
        <f>DSUM(DT45:DY89,DV45,WORK!$R$7:$S$8)+EJ32</f>
        <v>0</v>
      </c>
      <c r="DZ32" s="228">
        <f>DSUM(DT45:DY89,DV45,WORK!$V$7:$W$8)+EK32</f>
        <v>0</v>
      </c>
      <c r="EA32" s="190">
        <f>IF(DMIN(DT45:DY89,DX45,WORK!$B$7:$B$8)=0,EM32,DMIN(DT45:DY89,DX45,WORK!$B$7:$B$8))</f>
        <v>90</v>
      </c>
      <c r="EB32" s="190">
        <f t="shared" si="175"/>
        <v>90</v>
      </c>
      <c r="ED32" s="479"/>
      <c r="EE32" s="43" t="s">
        <v>47</v>
      </c>
      <c r="EF32" s="227">
        <f t="shared" si="176"/>
        <v>0</v>
      </c>
      <c r="EG32" s="218">
        <f t="shared" si="177"/>
        <v>5</v>
      </c>
      <c r="EH32" s="218">
        <f t="shared" si="178"/>
        <v>0</v>
      </c>
      <c r="EI32" s="218">
        <f t="shared" si="179"/>
        <v>0</v>
      </c>
      <c r="EJ32" s="218">
        <f t="shared" si="180"/>
        <v>0</v>
      </c>
      <c r="EK32" s="228">
        <f t="shared" si="181"/>
        <v>0</v>
      </c>
      <c r="EL32" s="91">
        <v>4</v>
      </c>
      <c r="EM32" s="181">
        <f t="shared" si="182"/>
        <v>90</v>
      </c>
      <c r="EO32" s="479"/>
      <c r="EP32" s="43" t="s">
        <v>47</v>
      </c>
      <c r="EQ32" s="227">
        <f>DSUM(EP45:EU89,ER45,WORK!$B$7:$C$8)+FB32</f>
        <v>0</v>
      </c>
      <c r="ER32" s="218">
        <f>DSUM(EP45:EU89,ER45,WORK!$F$7:$G$8)+FC32</f>
        <v>5</v>
      </c>
      <c r="ES32" s="218">
        <f>DSUM(EP45:EU89,ER45,WORK!$J$7:$K$8)+FD32</f>
        <v>0</v>
      </c>
      <c r="ET32" s="218">
        <f>DSUM(EP45:EU89,ER45,WORK!$N$7:$O$8)+FE32</f>
        <v>0</v>
      </c>
      <c r="EU32" s="218">
        <f>DSUM(EP45:EU89,ER45,WORK!$R$7:$S$8)+FF32</f>
        <v>0</v>
      </c>
      <c r="EV32" s="228">
        <f>DSUM(EP45:EU89,ER45,WORK!$V$7:$W$8)+FG32</f>
        <v>0</v>
      </c>
      <c r="EW32" s="190">
        <f>IF(DMIN(EP45:EU89,ET45,WORK!$B$7:$B$8)=0,FI32,DMIN(EP45:EU89,ET45,WORK!$B$7:$B$8))</f>
        <v>80</v>
      </c>
      <c r="EX32" s="190">
        <f t="shared" si="183"/>
        <v>80</v>
      </c>
      <c r="EZ32" s="479"/>
      <c r="FA32" s="43" t="s">
        <v>47</v>
      </c>
      <c r="FB32" s="227">
        <f t="shared" si="184"/>
        <v>0</v>
      </c>
      <c r="FC32" s="218">
        <f t="shared" si="184"/>
        <v>5</v>
      </c>
      <c r="FD32" s="218">
        <f t="shared" si="184"/>
        <v>0</v>
      </c>
      <c r="FE32" s="218">
        <f t="shared" si="184"/>
        <v>0</v>
      </c>
      <c r="FF32" s="218">
        <f t="shared" si="184"/>
        <v>0</v>
      </c>
      <c r="FG32" s="228">
        <f t="shared" si="185"/>
        <v>0</v>
      </c>
      <c r="FH32" s="91">
        <v>0</v>
      </c>
      <c r="FI32" s="181">
        <f t="shared" si="186"/>
        <v>80</v>
      </c>
      <c r="FK32" s="510"/>
      <c r="FL32" s="43" t="s">
        <v>47</v>
      </c>
      <c r="FM32" s="227">
        <f>DSUM(FL45:FQ89,FN45,WORK!$B$7:$C$8)</f>
        <v>0</v>
      </c>
      <c r="FN32" s="218">
        <f>DSUM(FL45:FQ89,FN45,WORK!$F$7:$G$8)</f>
        <v>5</v>
      </c>
      <c r="FO32" s="218">
        <f>DSUM(FL45:FQ89,FN45,WORK!$J$7:$K$8)</f>
        <v>0</v>
      </c>
      <c r="FP32" s="218">
        <f>DSUM(FL45:FQ89,FN45,WORK!$N$7:$O$8)</f>
        <v>0</v>
      </c>
      <c r="FQ32" s="218">
        <f>DSUM(FL45:FQ89,FN45,WORK!$R$7:$S$8)</f>
        <v>0</v>
      </c>
      <c r="FR32" s="228">
        <f>DSUM(FL45:FQ89,FN45,WORK!$V$7:$W$8)</f>
        <v>0</v>
      </c>
      <c r="FS32" s="190">
        <f>DMIN(FL45:FQ89,FP45,WORK!$B$7:$B$8)</f>
        <v>90</v>
      </c>
      <c r="FT32" s="190">
        <f t="shared" si="127"/>
        <v>90</v>
      </c>
    </row>
    <row r="33" spans="2:176" ht="13.5">
      <c r="B33" s="479"/>
      <c r="C33" s="43" t="s">
        <v>49</v>
      </c>
      <c r="D33" s="227">
        <f>DSUM(C45:H89,E45,WORK!$B$9:$C$10)+O33</f>
        <v>5</v>
      </c>
      <c r="E33" s="218">
        <f>DSUM(C45:H89,E45,WORK!$F$9:$G$10)+P33</f>
        <v>0</v>
      </c>
      <c r="F33" s="218">
        <f>DSUM(C45:H89,E45,WORK!$J$9:$K$10)+Q33</f>
        <v>0</v>
      </c>
      <c r="G33" s="218">
        <f>DSUM(C45:H89,E45,WORK!$N$9:$O$10)+R33</f>
        <v>0</v>
      </c>
      <c r="H33" s="218">
        <f>DSUM(C45:H89,E45,WORK!$R$9:$S$10)+S33</f>
        <v>0</v>
      </c>
      <c r="I33" s="228">
        <f>DSUM(C45:H89,E45,WORK!$V$9:$W$10)+T33</f>
        <v>0</v>
      </c>
      <c r="J33" s="190">
        <f>IF(DMIN(C45:H89,G45,WORK!$B$9:$B$10)=0,V33,DMIN(C45:H89,G45,WORK!$B$9:$B$10))</f>
        <v>75</v>
      </c>
      <c r="K33" s="190">
        <f>IF(SUM(D33:I33)&lt;10,J33,IF(J33&lt;=75,J33+5,IF(J33&lt;=100,J33+10,IF(J33=110,J33+15,J33+25))))</f>
        <v>75</v>
      </c>
      <c r="M33" s="479"/>
      <c r="N33" s="43" t="s">
        <v>49</v>
      </c>
      <c r="O33" s="227">
        <f t="shared" si="128"/>
        <v>5</v>
      </c>
      <c r="P33" s="218">
        <f t="shared" si="129"/>
        <v>0</v>
      </c>
      <c r="Q33" s="218">
        <f t="shared" si="130"/>
        <v>0</v>
      </c>
      <c r="R33" s="218">
        <f t="shared" si="131"/>
        <v>0</v>
      </c>
      <c r="S33" s="218">
        <f t="shared" si="132"/>
        <v>0</v>
      </c>
      <c r="T33" s="228">
        <f t="shared" si="133"/>
        <v>0</v>
      </c>
      <c r="U33" s="91">
        <v>88</v>
      </c>
      <c r="V33" s="181">
        <f t="shared" si="134"/>
        <v>75</v>
      </c>
      <c r="X33" s="479"/>
      <c r="Y33" s="43" t="s">
        <v>49</v>
      </c>
      <c r="Z33" s="227">
        <f t="shared" si="135"/>
        <v>5</v>
      </c>
      <c r="AA33" s="218">
        <f t="shared" si="136"/>
        <v>0</v>
      </c>
      <c r="AB33" s="218">
        <f t="shared" si="137"/>
        <v>0</v>
      </c>
      <c r="AC33" s="218">
        <f t="shared" si="138"/>
        <v>0</v>
      </c>
      <c r="AD33" s="218">
        <f t="shared" si="139"/>
        <v>0</v>
      </c>
      <c r="AE33" s="228">
        <f t="shared" si="140"/>
        <v>0</v>
      </c>
      <c r="AF33" s="91">
        <v>0</v>
      </c>
      <c r="AG33" s="181">
        <f t="shared" si="141"/>
        <v>70</v>
      </c>
      <c r="AI33" s="479"/>
      <c r="AJ33" s="43" t="s">
        <v>49</v>
      </c>
      <c r="AK33" s="227">
        <f t="shared" si="187"/>
        <v>5</v>
      </c>
      <c r="AL33" s="218">
        <f t="shared" si="187"/>
        <v>0</v>
      </c>
      <c r="AM33" s="218">
        <f t="shared" si="187"/>
        <v>0</v>
      </c>
      <c r="AN33" s="218">
        <f t="shared" si="142"/>
        <v>0</v>
      </c>
      <c r="AO33" s="218">
        <f t="shared" si="143"/>
        <v>0</v>
      </c>
      <c r="AP33" s="228">
        <f t="shared" si="144"/>
        <v>0</v>
      </c>
      <c r="AQ33" s="91">
        <v>0</v>
      </c>
      <c r="AR33" s="181">
        <f>IF(ISBLANK(AQ33),BC33,IF(AQ33=0,IF(BC33=30,0,IF(BC33&lt;=80,BC33-5,IF(BC33&lt;=110,BC33-10,IF(BC33=125,BC33-15,BC33-25)))),IF(BC33&lt;=75,BC33+5,IF(BC33&lt;=100,BC33+10,IF(BC33=110,BC33+15,BC33+25)))))</f>
        <v>75</v>
      </c>
      <c r="AT33" s="479"/>
      <c r="AU33" s="43" t="s">
        <v>49</v>
      </c>
      <c r="AV33" s="227">
        <f>DSUM(AU45:AZ89,AW45,WORK!$B$9:$C$10)+BG33</f>
        <v>5</v>
      </c>
      <c r="AW33" s="218">
        <f>DSUM(AU45:AZ89,AW45,WORK!$F$9:$G$10)+BH33</f>
        <v>0</v>
      </c>
      <c r="AX33" s="218">
        <f>DSUM(AU45:AZ89,AW45,WORK!$J$9:$K$10)+BI33</f>
        <v>0</v>
      </c>
      <c r="AY33" s="218">
        <f>DSUM(AU45:AZ89,AW45,WORK!$N$9:$O$10)+BJ33</f>
        <v>0</v>
      </c>
      <c r="AZ33" s="218">
        <f>DSUM(AU45:AZ89,AW45,WORK!$R$9:$S$10)+BK33</f>
        <v>0</v>
      </c>
      <c r="BA33" s="228">
        <f>DSUM(AU45:AZ89,AW45,WORK!$V$9:$W$10)+BL33</f>
        <v>0</v>
      </c>
      <c r="BB33" s="190">
        <f>IF(DMIN(AU45:AZ89,AY45,WORK!$B$9:$B$10)=0,BN33,DMIN(AU45:AZ89,AY45,WORK!$B$9:$B$10))</f>
        <v>80</v>
      </c>
      <c r="BC33" s="190">
        <f>IF(SUM(AV33:BA33)&lt;10,BB33,IF(BB33&lt;=75,BB33+5,IF(BB33&lt;=100,BB33+10,IF(BB33=110,BB33+15,BB33+25))))</f>
        <v>80</v>
      </c>
      <c r="BE33" s="479"/>
      <c r="BF33" s="43" t="s">
        <v>49</v>
      </c>
      <c r="BG33" s="227">
        <f t="shared" si="145"/>
        <v>4</v>
      </c>
      <c r="BH33" s="218">
        <f t="shared" si="146"/>
        <v>0</v>
      </c>
      <c r="BI33" s="218">
        <f t="shared" si="147"/>
        <v>0</v>
      </c>
      <c r="BJ33" s="218">
        <f t="shared" si="148"/>
        <v>0</v>
      </c>
      <c r="BK33" s="218">
        <f t="shared" si="149"/>
        <v>0</v>
      </c>
      <c r="BL33" s="228">
        <f t="shared" si="150"/>
        <v>0</v>
      </c>
      <c r="BM33" s="91">
        <v>16</v>
      </c>
      <c r="BN33" s="181">
        <f t="shared" si="151"/>
        <v>80</v>
      </c>
      <c r="BP33" s="479"/>
      <c r="BQ33" s="43" t="s">
        <v>49</v>
      </c>
      <c r="BR33" s="227">
        <f t="shared" si="152"/>
        <v>4</v>
      </c>
      <c r="BS33" s="218">
        <f t="shared" si="153"/>
        <v>0</v>
      </c>
      <c r="BT33" s="218">
        <f t="shared" si="154"/>
        <v>0</v>
      </c>
      <c r="BU33" s="218">
        <f t="shared" si="155"/>
        <v>0</v>
      </c>
      <c r="BV33" s="218">
        <f t="shared" si="156"/>
        <v>0</v>
      </c>
      <c r="BW33" s="228">
        <f t="shared" si="157"/>
        <v>0</v>
      </c>
      <c r="BX33" s="91">
        <v>0</v>
      </c>
      <c r="BY33" s="181">
        <f t="shared" si="158"/>
        <v>75</v>
      </c>
      <c r="CA33" s="479"/>
      <c r="CB33" s="43" t="s">
        <v>49</v>
      </c>
      <c r="CC33" s="227">
        <f>DSUM(CB45:CG89,CD45,WORK!$B$9:$C$10)+CN33</f>
        <v>4</v>
      </c>
      <c r="CD33" s="218">
        <f>DSUM(CB45:CG89,CD45,WORK!$F$9:$G$10)+CO33</f>
        <v>0</v>
      </c>
      <c r="CE33" s="218">
        <f>DSUM(CB45:CG89,CD45,WORK!$J$9:$K$10)+CP33</f>
        <v>0</v>
      </c>
      <c r="CF33" s="218">
        <f>DSUM(CB45:CG89,CD45,WORK!$N$9:$O$10)+CQ33</f>
        <v>0</v>
      </c>
      <c r="CG33" s="218">
        <f>DSUM(CB45:CG89,CD45,WORK!$R$9:$S$10)+CR33</f>
        <v>0</v>
      </c>
      <c r="CH33" s="228">
        <f>DSUM(CB45:CG89,CD45,WORK!$V$9:$W$10)+CS33</f>
        <v>0</v>
      </c>
      <c r="CI33" s="190">
        <f>IF(DMIN(CB45:CG89,CF45,WORK!$B$9:$B$10)=0,CU33,DMIN(CB45:CG89,CF45,WORK!$B$9:$B$10))</f>
        <v>80</v>
      </c>
      <c r="CJ33" s="190">
        <f t="shared" si="159"/>
        <v>80</v>
      </c>
      <c r="CL33" s="479"/>
      <c r="CM33" s="43" t="s">
        <v>49</v>
      </c>
      <c r="CN33" s="227">
        <f t="shared" si="160"/>
        <v>3</v>
      </c>
      <c r="CO33" s="218">
        <f t="shared" si="161"/>
        <v>0</v>
      </c>
      <c r="CP33" s="218">
        <f t="shared" si="162"/>
        <v>0</v>
      </c>
      <c r="CQ33" s="218">
        <f t="shared" si="163"/>
        <v>0</v>
      </c>
      <c r="CR33" s="218">
        <f t="shared" si="164"/>
        <v>0</v>
      </c>
      <c r="CS33" s="228">
        <f t="shared" si="165"/>
        <v>0</v>
      </c>
      <c r="CT33" s="91"/>
      <c r="CU33" s="181">
        <f t="shared" si="166"/>
        <v>100</v>
      </c>
      <c r="CW33" s="479"/>
      <c r="CX33" s="43" t="s">
        <v>49</v>
      </c>
      <c r="CY33" s="227">
        <f>DSUM(CX45:DC89,CZ45,WORK!$B$9:$C$10)+DJ33</f>
        <v>3</v>
      </c>
      <c r="CZ33" s="218">
        <f>DSUM(CX45:DC89,CZ45,WORK!$F$9:$G$10)+DK33</f>
        <v>0</v>
      </c>
      <c r="DA33" s="218">
        <f>DSUM(CX45:DC89,CZ45,WORK!$J$9:$K$10)+DL33</f>
        <v>0</v>
      </c>
      <c r="DB33" s="218">
        <f>DSUM(CX45:DC89,CZ45,WORK!$N$9:$O$10)+DM33</f>
        <v>0</v>
      </c>
      <c r="DC33" s="218">
        <f>DSUM(CX45:DC89,CZ45,WORK!$R$9:$S$10)+DN33</f>
        <v>0</v>
      </c>
      <c r="DD33" s="228">
        <f>DSUM(CX45:DC89,CZ45,WORK!$V$9:$W$10)+DO33</f>
        <v>0</v>
      </c>
      <c r="DE33" s="190">
        <f>IF(DMIN(CX45:DC89,DB45,WORK!$B$9:$B$10)=0,DQ33,DMIN(CX45:DC89,DB45,WORK!$B$9:$B$10))</f>
        <v>100</v>
      </c>
      <c r="DF33" s="190">
        <f t="shared" si="167"/>
        <v>100</v>
      </c>
      <c r="DH33" s="479"/>
      <c r="DI33" s="43" t="s">
        <v>49</v>
      </c>
      <c r="DJ33" s="227">
        <f t="shared" si="168"/>
        <v>3</v>
      </c>
      <c r="DK33" s="218">
        <f t="shared" si="169"/>
        <v>0</v>
      </c>
      <c r="DL33" s="218">
        <f t="shared" si="170"/>
        <v>0</v>
      </c>
      <c r="DM33" s="218">
        <f t="shared" si="171"/>
        <v>0</v>
      </c>
      <c r="DN33" s="218">
        <f t="shared" si="172"/>
        <v>0</v>
      </c>
      <c r="DO33" s="228">
        <f t="shared" si="173"/>
        <v>0</v>
      </c>
      <c r="DP33" s="91"/>
      <c r="DQ33" s="181">
        <f t="shared" si="174"/>
        <v>100</v>
      </c>
      <c r="DS33" s="479"/>
      <c r="DT33" s="43" t="s">
        <v>49</v>
      </c>
      <c r="DU33" s="227">
        <f>DSUM(DT45:DY89,DV45,WORK!$B$9:$C$10)+EF33</f>
        <v>3</v>
      </c>
      <c r="DV33" s="218">
        <f>DSUM(DT45:DY89,DV45,WORK!$F$9:$G$10)+EG33</f>
        <v>0</v>
      </c>
      <c r="DW33" s="218">
        <f>DSUM(DT45:DY89,DV45,WORK!$J$9:$K$10)+EH33</f>
        <v>0</v>
      </c>
      <c r="DX33" s="218">
        <f>DSUM(DT45:DY89,DV45,WORK!$N$9:$O$10)+EI33</f>
        <v>0</v>
      </c>
      <c r="DY33" s="218">
        <f>DSUM(DT45:DY89,DV45,WORK!$R$9:$S$10)+EJ33</f>
        <v>0</v>
      </c>
      <c r="DZ33" s="228">
        <f>DSUM(DT45:DY89,DV45,WORK!$V$9:$W$10)+EK33</f>
        <v>0</v>
      </c>
      <c r="EA33" s="190">
        <f>IF(DMIN(DT45:DY89,DX45,WORK!$B$9:$B$10)=0,EM33,DMIN(DT45:DY89,DX45,WORK!$B$9:$B$10))</f>
        <v>100</v>
      </c>
      <c r="EB33" s="190">
        <f t="shared" si="175"/>
        <v>100</v>
      </c>
      <c r="ED33" s="479"/>
      <c r="EE33" s="43" t="s">
        <v>49</v>
      </c>
      <c r="EF33" s="227">
        <f t="shared" si="176"/>
        <v>3</v>
      </c>
      <c r="EG33" s="218">
        <f t="shared" si="177"/>
        <v>0</v>
      </c>
      <c r="EH33" s="218">
        <f t="shared" si="178"/>
        <v>0</v>
      </c>
      <c r="EI33" s="218">
        <f t="shared" si="179"/>
        <v>0</v>
      </c>
      <c r="EJ33" s="218">
        <f t="shared" si="180"/>
        <v>0</v>
      </c>
      <c r="EK33" s="228">
        <f t="shared" si="181"/>
        <v>0</v>
      </c>
      <c r="EL33" s="91"/>
      <c r="EM33" s="181">
        <f t="shared" si="182"/>
        <v>100</v>
      </c>
      <c r="EO33" s="479"/>
      <c r="EP33" s="43" t="s">
        <v>49</v>
      </c>
      <c r="EQ33" s="227">
        <f>DSUM(EP45:EU89,ER45,WORK!$B$9:$C$10)+FB33</f>
        <v>3</v>
      </c>
      <c r="ER33" s="218">
        <f>DSUM(EP45:EU89,ER45,WORK!$F$9:$G$10)+FC33</f>
        <v>0</v>
      </c>
      <c r="ES33" s="218">
        <f>DSUM(EP45:EU89,ER45,WORK!$J$9:$K$10)+FD33</f>
        <v>0</v>
      </c>
      <c r="ET33" s="218">
        <f>DSUM(EP45:EU89,ER45,WORK!$N$9:$O$10)+FE33</f>
        <v>0</v>
      </c>
      <c r="EU33" s="218">
        <f>DSUM(EP45:EU89,ER45,WORK!$R$9:$S$10)+FF33</f>
        <v>0</v>
      </c>
      <c r="EV33" s="228">
        <f>DSUM(EP45:EU89,ER45,WORK!$V$9:$W$10)+FG33</f>
        <v>0</v>
      </c>
      <c r="EW33" s="190">
        <f>IF(DMIN(EP45:EU89,ET45,WORK!$B$9:$B$10)=0,FI33,DMIN(EP45:EU89,ET45,WORK!$B$9:$B$10))</f>
        <v>100</v>
      </c>
      <c r="EX33" s="190">
        <f t="shared" si="183"/>
        <v>100</v>
      </c>
      <c r="EZ33" s="479"/>
      <c r="FA33" s="43" t="s">
        <v>49</v>
      </c>
      <c r="FB33" s="227">
        <f t="shared" si="184"/>
        <v>3</v>
      </c>
      <c r="FC33" s="218">
        <f t="shared" si="184"/>
        <v>0</v>
      </c>
      <c r="FD33" s="218">
        <f t="shared" si="184"/>
        <v>0</v>
      </c>
      <c r="FE33" s="218">
        <f t="shared" si="184"/>
        <v>0</v>
      </c>
      <c r="FF33" s="218">
        <f t="shared" si="184"/>
        <v>0</v>
      </c>
      <c r="FG33" s="228">
        <f t="shared" si="185"/>
        <v>0</v>
      </c>
      <c r="FH33" s="91"/>
      <c r="FI33" s="181">
        <f t="shared" si="186"/>
        <v>100</v>
      </c>
      <c r="FK33" s="510"/>
      <c r="FL33" s="43" t="s">
        <v>49</v>
      </c>
      <c r="FM33" s="227">
        <f>DSUM(FL45:FQ89,FN45,WORK!$B$9:$C$10)</f>
        <v>3</v>
      </c>
      <c r="FN33" s="218">
        <f>DSUM(FL45:FQ89,FN45,WORK!$F$9:$G$10)</f>
        <v>0</v>
      </c>
      <c r="FO33" s="218">
        <f>DSUM(FL45:FQ89,FN45,WORK!$J$9:$K$10)</f>
        <v>0</v>
      </c>
      <c r="FP33" s="218">
        <f>DSUM(FL45:FQ89,FN45,WORK!$N$9:$O$10)</f>
        <v>0</v>
      </c>
      <c r="FQ33" s="218">
        <f>DSUM(FL45:FQ89,FN45,WORK!$R$9:$S$10)</f>
        <v>0</v>
      </c>
      <c r="FR33" s="228">
        <f>DSUM(FL45:FQ89,FN45,WORK!$V$9:$W$10)</f>
        <v>0</v>
      </c>
      <c r="FS33" s="190">
        <f>DMIN(FL45:FQ89,FP45,WORK!$B$9:$B$10)</f>
        <v>100</v>
      </c>
      <c r="FT33" s="190">
        <f t="shared" si="127"/>
        <v>100</v>
      </c>
    </row>
    <row r="34" spans="2:176" ht="13.5">
      <c r="B34" s="479"/>
      <c r="C34" s="43" t="s">
        <v>79</v>
      </c>
      <c r="D34" s="227">
        <f>DSUM(C45:H89,E45,WORK!$B$11:$C$12)+O34</f>
        <v>0</v>
      </c>
      <c r="E34" s="218">
        <f>DSUM(C45:H89,E45,WORK!$F$11:$G$12)+P34</f>
        <v>4</v>
      </c>
      <c r="F34" s="218">
        <f>DSUM(C45:H89,E45,WORK!$J$11:$K$12)+Q34</f>
        <v>0</v>
      </c>
      <c r="G34" s="218">
        <f>DSUM(C45:H89,E45,WORK!$N$11:$O$12)+R34</f>
        <v>0</v>
      </c>
      <c r="H34" s="218">
        <f>DSUM(C45:H89,E45,WORK!$R$11:$S$12)+S34</f>
        <v>0</v>
      </c>
      <c r="I34" s="228">
        <f>DSUM(C45:H89,E45,WORK!$V$11:$W$12)+T34</f>
        <v>0</v>
      </c>
      <c r="J34" s="190">
        <f>IF(DMIN(C45:H89,G45,WORK!$B$11:$B$12)=0,V34,DMIN(C45:H89,G45,WORK!$B$11:$B$12))</f>
        <v>75</v>
      </c>
      <c r="K34" s="190">
        <f>IF(SUM(D34:I34)&lt;10,J34,IF(J34&lt;=75,J34+5,IF(J34&lt;=100,J34+10,IF(J34=110,J34+15,J34+25))))</f>
        <v>75</v>
      </c>
      <c r="M34" s="479"/>
      <c r="N34" s="43" t="s">
        <v>79</v>
      </c>
      <c r="O34" s="227">
        <f t="shared" si="128"/>
        <v>0</v>
      </c>
      <c r="P34" s="218">
        <f t="shared" si="129"/>
        <v>4</v>
      </c>
      <c r="Q34" s="218">
        <f t="shared" si="130"/>
        <v>0</v>
      </c>
      <c r="R34" s="218">
        <f t="shared" si="131"/>
        <v>0</v>
      </c>
      <c r="S34" s="218">
        <f t="shared" si="132"/>
        <v>0</v>
      </c>
      <c r="T34" s="228">
        <f t="shared" si="133"/>
        <v>0</v>
      </c>
      <c r="U34" s="91">
        <v>40</v>
      </c>
      <c r="V34" s="181">
        <f t="shared" si="134"/>
        <v>75</v>
      </c>
      <c r="X34" s="479"/>
      <c r="Y34" s="43" t="s">
        <v>79</v>
      </c>
      <c r="Z34" s="227">
        <f t="shared" si="135"/>
        <v>0</v>
      </c>
      <c r="AA34" s="218">
        <f t="shared" si="136"/>
        <v>4</v>
      </c>
      <c r="AB34" s="218">
        <f t="shared" si="137"/>
        <v>0</v>
      </c>
      <c r="AC34" s="218">
        <f t="shared" si="138"/>
        <v>0</v>
      </c>
      <c r="AD34" s="218">
        <f t="shared" si="139"/>
        <v>0</v>
      </c>
      <c r="AE34" s="228">
        <f t="shared" si="140"/>
        <v>0</v>
      </c>
      <c r="AF34" s="91">
        <v>32</v>
      </c>
      <c r="AG34" s="181">
        <f t="shared" si="141"/>
        <v>70</v>
      </c>
      <c r="AI34" s="479"/>
      <c r="AJ34" s="43" t="s">
        <v>79</v>
      </c>
      <c r="AK34" s="227">
        <f t="shared" si="187"/>
        <v>0</v>
      </c>
      <c r="AL34" s="218">
        <f t="shared" si="187"/>
        <v>4</v>
      </c>
      <c r="AM34" s="218">
        <f t="shared" si="187"/>
        <v>0</v>
      </c>
      <c r="AN34" s="218">
        <f t="shared" si="142"/>
        <v>0</v>
      </c>
      <c r="AO34" s="218">
        <f t="shared" si="143"/>
        <v>0</v>
      </c>
      <c r="AP34" s="228">
        <f t="shared" si="144"/>
        <v>0</v>
      </c>
      <c r="AQ34" s="91">
        <v>0</v>
      </c>
      <c r="AR34" s="181">
        <f>IF(ISBLANK(AQ34),BC34,IF(AQ34=0,IF(BC34=30,0,IF(BC34&lt;=80,BC34-5,IF(BC34&lt;=110,BC34-10,IF(BC34=125,BC34-15,BC34-25)))),IF(BC34&lt;=75,BC34+5,IF(BC34&lt;=100,BC34+10,IF(BC34=110,BC34+15,BC34+25)))))</f>
        <v>65</v>
      </c>
      <c r="AT34" s="479"/>
      <c r="AU34" s="43" t="s">
        <v>79</v>
      </c>
      <c r="AV34" s="227">
        <f>DSUM(AU45:AZ89,AW45,WORK!$B$11:$C$12)+BG34</f>
        <v>0</v>
      </c>
      <c r="AW34" s="218">
        <f>DSUM(AU45:AZ89,AW45,WORK!$F$11:$G$12)+BH34</f>
        <v>4</v>
      </c>
      <c r="AX34" s="218">
        <f>DSUM(AU45:AZ89,AW45,WORK!$J$11:$K$12)+BI34</f>
        <v>0</v>
      </c>
      <c r="AY34" s="218">
        <f>DSUM(AU45:AZ89,AW45,WORK!$N$11:$O$12)+BJ34</f>
        <v>0</v>
      </c>
      <c r="AZ34" s="218">
        <f>DSUM(AU45:AZ89,AW45,WORK!$R$11:$S$12)+BK34</f>
        <v>0</v>
      </c>
      <c r="BA34" s="228">
        <f>DSUM(AU45:AZ89,AW45,WORK!$V$11:$W$12)+BL34</f>
        <v>0</v>
      </c>
      <c r="BB34" s="190">
        <f>IF(DMIN(AU45:AZ89,AY45,WORK!$B$11:$B$12)=0,BN34,DMIN(AU45:AZ89,AY45,WORK!$B$11:$B$12))</f>
        <v>70</v>
      </c>
      <c r="BC34" s="190">
        <f>IF(SUM(AV34:BA34)&lt;10,BB34,IF(BB34&lt;=75,BB34+5,IF(BB34&lt;=100,BB34+10,IF(BB34=110,BB34+15,BB34+25))))</f>
        <v>70</v>
      </c>
      <c r="BE34" s="479"/>
      <c r="BF34" s="43" t="s">
        <v>79</v>
      </c>
      <c r="BG34" s="227">
        <f t="shared" si="145"/>
        <v>0</v>
      </c>
      <c r="BH34" s="218">
        <f t="shared" si="146"/>
        <v>5</v>
      </c>
      <c r="BI34" s="218">
        <f t="shared" si="147"/>
        <v>0</v>
      </c>
      <c r="BJ34" s="218">
        <f t="shared" si="148"/>
        <v>0</v>
      </c>
      <c r="BK34" s="218">
        <f t="shared" si="149"/>
        <v>0</v>
      </c>
      <c r="BL34" s="228">
        <f t="shared" si="150"/>
        <v>0</v>
      </c>
      <c r="BM34" s="91">
        <v>15</v>
      </c>
      <c r="BN34" s="181">
        <f t="shared" si="151"/>
        <v>100</v>
      </c>
      <c r="BP34" s="479"/>
      <c r="BQ34" s="43" t="s">
        <v>79</v>
      </c>
      <c r="BR34" s="227">
        <f t="shared" si="152"/>
        <v>0</v>
      </c>
      <c r="BS34" s="218">
        <f t="shared" si="153"/>
        <v>5</v>
      </c>
      <c r="BT34" s="218">
        <f t="shared" si="154"/>
        <v>0</v>
      </c>
      <c r="BU34" s="218">
        <f t="shared" si="155"/>
        <v>0</v>
      </c>
      <c r="BV34" s="218">
        <f t="shared" si="156"/>
        <v>0</v>
      </c>
      <c r="BW34" s="228">
        <f t="shared" si="157"/>
        <v>0</v>
      </c>
      <c r="BX34" s="91">
        <v>0</v>
      </c>
      <c r="BY34" s="181">
        <f t="shared" si="158"/>
        <v>90</v>
      </c>
      <c r="CA34" s="479"/>
      <c r="CB34" s="43" t="s">
        <v>79</v>
      </c>
      <c r="CC34" s="227">
        <f>DSUM(CB45:CG89,CD45,WORK!$B$11:$C$12)+CN34</f>
        <v>0</v>
      </c>
      <c r="CD34" s="218">
        <f>DSUM(CB45:CG89,CD45,WORK!$F$11:$G$12)+CO34</f>
        <v>5</v>
      </c>
      <c r="CE34" s="218">
        <f>DSUM(CB45:CG89,CD45,WORK!$J$11:$K$12)+CP34</f>
        <v>0</v>
      </c>
      <c r="CF34" s="218">
        <f>DSUM(CB45:CG89,CD45,WORK!$N$11:$O$12)+CQ34</f>
        <v>0</v>
      </c>
      <c r="CG34" s="218">
        <f>DSUM(CB45:CG89,CD45,WORK!$R$11:$S$12)+CR34</f>
        <v>0</v>
      </c>
      <c r="CH34" s="228">
        <f>DSUM(CB45:CG89,CD45,WORK!$V$11:$W$12)+CS34</f>
        <v>0</v>
      </c>
      <c r="CI34" s="190">
        <f>IF(DMIN(CB45:CG89,CF45,WORK!$B$11:$B$12)=0,CU34,DMIN(CB45:CG89,CF45,WORK!$B$11:$B$12))</f>
        <v>100</v>
      </c>
      <c r="CJ34" s="190">
        <f t="shared" si="159"/>
        <v>100</v>
      </c>
      <c r="CL34" s="479"/>
      <c r="CM34" s="43" t="s">
        <v>79</v>
      </c>
      <c r="CN34" s="227">
        <f t="shared" si="160"/>
        <v>0</v>
      </c>
      <c r="CO34" s="218">
        <f t="shared" si="161"/>
        <v>0</v>
      </c>
      <c r="CP34" s="218">
        <f t="shared" si="162"/>
        <v>0</v>
      </c>
      <c r="CQ34" s="218">
        <f t="shared" si="163"/>
        <v>0</v>
      </c>
      <c r="CR34" s="218">
        <f t="shared" si="164"/>
        <v>0</v>
      </c>
      <c r="CS34" s="228">
        <f t="shared" si="165"/>
        <v>0</v>
      </c>
      <c r="CT34" s="91"/>
      <c r="CU34" s="181">
        <f t="shared" si="166"/>
        <v>0</v>
      </c>
      <c r="CW34" s="479"/>
      <c r="CX34" s="43" t="s">
        <v>79</v>
      </c>
      <c r="CY34" s="227">
        <f>DSUM(CX45:DC89,CZ45,WORK!$B$11:$C$12)+DJ34</f>
        <v>0</v>
      </c>
      <c r="CZ34" s="218">
        <f>DSUM(CX45:DC89,CZ45,WORK!$F$11:$G$12)+DK34</f>
        <v>0</v>
      </c>
      <c r="DA34" s="218">
        <f>DSUM(CX45:DC89,CZ45,WORK!$J$11:$K$12)+DL34</f>
        <v>0</v>
      </c>
      <c r="DB34" s="218">
        <f>DSUM(CX45:DC89,CZ45,WORK!$N$11:$O$12)+DM34</f>
        <v>0</v>
      </c>
      <c r="DC34" s="218">
        <f>DSUM(CX45:DC89,CZ45,WORK!$R$11:$S$12)+DN34</f>
        <v>0</v>
      </c>
      <c r="DD34" s="228">
        <f>DSUM(CX45:DC89,CZ45,WORK!$V$11:$W$12)+DO34</f>
        <v>0</v>
      </c>
      <c r="DE34" s="190">
        <f>IF(DMIN(CX45:DC89,DB45,WORK!$B$11:$B$12)=0,DQ34,DMIN(CX45:DC89,DB45,WORK!$B$11:$B$12))</f>
        <v>0</v>
      </c>
      <c r="DF34" s="190">
        <f t="shared" si="167"/>
        <v>0</v>
      </c>
      <c r="DH34" s="479"/>
      <c r="DI34" s="43" t="s">
        <v>79</v>
      </c>
      <c r="DJ34" s="227">
        <f t="shared" si="168"/>
        <v>0</v>
      </c>
      <c r="DK34" s="218">
        <f t="shared" si="169"/>
        <v>0</v>
      </c>
      <c r="DL34" s="218">
        <f t="shared" si="170"/>
        <v>0</v>
      </c>
      <c r="DM34" s="218">
        <f t="shared" si="171"/>
        <v>0</v>
      </c>
      <c r="DN34" s="218">
        <f t="shared" si="172"/>
        <v>0</v>
      </c>
      <c r="DO34" s="228">
        <f t="shared" si="173"/>
        <v>0</v>
      </c>
      <c r="DP34" s="91"/>
      <c r="DQ34" s="181">
        <f t="shared" si="174"/>
        <v>0</v>
      </c>
      <c r="DS34" s="479"/>
      <c r="DT34" s="43" t="s">
        <v>79</v>
      </c>
      <c r="DU34" s="227">
        <f>DSUM(DT45:DY89,DV45,WORK!$B$11:$C$12)+EF34</f>
        <v>0</v>
      </c>
      <c r="DV34" s="218">
        <f>DSUM(DT45:DY89,DV45,WORK!$F$11:$G$12)+EG34</f>
        <v>0</v>
      </c>
      <c r="DW34" s="218">
        <f>DSUM(DT45:DY89,DV45,WORK!$J$11:$K$12)+EH34</f>
        <v>0</v>
      </c>
      <c r="DX34" s="218">
        <f>DSUM(DT45:DY89,DV45,WORK!$N$11:$O$12)+EI34</f>
        <v>0</v>
      </c>
      <c r="DY34" s="218">
        <f>DSUM(DT45:DY89,DV45,WORK!$R$11:$S$12)+EJ34</f>
        <v>0</v>
      </c>
      <c r="DZ34" s="228">
        <f>DSUM(DT45:DY89,DV45,WORK!$V$11:$W$12)+EK34</f>
        <v>0</v>
      </c>
      <c r="EA34" s="190">
        <f>IF(DMIN(DT45:DY89,DX45,WORK!$B$11:$B$12)=0,EM34,DMIN(DT45:DY89,DX45,WORK!$B$11:$B$12))</f>
        <v>0</v>
      </c>
      <c r="EB34" s="190">
        <f t="shared" si="175"/>
        <v>0</v>
      </c>
      <c r="ED34" s="479"/>
      <c r="EE34" s="43" t="s">
        <v>79</v>
      </c>
      <c r="EF34" s="227">
        <f t="shared" si="176"/>
        <v>0</v>
      </c>
      <c r="EG34" s="218">
        <f t="shared" si="177"/>
        <v>0</v>
      </c>
      <c r="EH34" s="218">
        <f t="shared" si="178"/>
        <v>0</v>
      </c>
      <c r="EI34" s="218">
        <f t="shared" si="179"/>
        <v>0</v>
      </c>
      <c r="EJ34" s="218">
        <f t="shared" si="180"/>
        <v>0</v>
      </c>
      <c r="EK34" s="228">
        <f t="shared" si="181"/>
        <v>0</v>
      </c>
      <c r="EL34" s="91"/>
      <c r="EM34" s="181">
        <f t="shared" si="182"/>
        <v>0</v>
      </c>
      <c r="EO34" s="479"/>
      <c r="EP34" s="43" t="s">
        <v>79</v>
      </c>
      <c r="EQ34" s="227">
        <f>DSUM(EP45:EU89,ER45,WORK!$B$11:$C$12)+FB34</f>
        <v>0</v>
      </c>
      <c r="ER34" s="218">
        <f>DSUM(EP45:EU89,ER45,WORK!$F$11:$G$12)+FC34</f>
        <v>0</v>
      </c>
      <c r="ES34" s="218">
        <f>DSUM(EP45:EU89,ER45,WORK!$J$11:$K$12)+FD34</f>
        <v>0</v>
      </c>
      <c r="ET34" s="218">
        <f>DSUM(EP45:EU89,ER45,WORK!$N$11:$O$12)+FE34</f>
        <v>0</v>
      </c>
      <c r="EU34" s="218">
        <f>DSUM(EP45:EU89,ER45,WORK!$R$11:$S$12)+FF34</f>
        <v>0</v>
      </c>
      <c r="EV34" s="228">
        <f>DSUM(EP45:EU89,ER45,WORK!$V$11:$W$12)+FG34</f>
        <v>0</v>
      </c>
      <c r="EW34" s="190">
        <f>IF(DMIN(EP45:EU89,ET45,WORK!$B$11:$B$12)=0,FI34,DMIN(EP45:EU89,ET45,WORK!$B$11:$B$12))</f>
        <v>0</v>
      </c>
      <c r="EX34" s="190">
        <f t="shared" si="183"/>
        <v>0</v>
      </c>
      <c r="EZ34" s="479"/>
      <c r="FA34" s="43" t="s">
        <v>79</v>
      </c>
      <c r="FB34" s="227">
        <f t="shared" si="184"/>
        <v>0</v>
      </c>
      <c r="FC34" s="218">
        <f t="shared" si="184"/>
        <v>0</v>
      </c>
      <c r="FD34" s="218">
        <f t="shared" si="184"/>
        <v>0</v>
      </c>
      <c r="FE34" s="218">
        <f t="shared" si="184"/>
        <v>0</v>
      </c>
      <c r="FF34" s="218">
        <f t="shared" si="184"/>
        <v>0</v>
      </c>
      <c r="FG34" s="228">
        <f t="shared" si="185"/>
        <v>0</v>
      </c>
      <c r="FH34" s="91"/>
      <c r="FI34" s="181">
        <f t="shared" si="186"/>
        <v>0</v>
      </c>
      <c r="FK34" s="510"/>
      <c r="FL34" s="43" t="s">
        <v>79</v>
      </c>
      <c r="FM34" s="227">
        <f>DSUM(FL45:FQ89,FN45,WORK!$B$11:$C$12)</f>
        <v>0</v>
      </c>
      <c r="FN34" s="218">
        <f>DSUM(FL45:FQ89,FN45,WORK!$F$11:$G$12)</f>
        <v>0</v>
      </c>
      <c r="FO34" s="218">
        <f>DSUM(FL45:FQ89,FN45,WORK!$J$11:$K$12)</f>
        <v>0</v>
      </c>
      <c r="FP34" s="218">
        <f>DSUM(FL45:FQ89,FN45,WORK!$N$11:$O$12)</f>
        <v>0</v>
      </c>
      <c r="FQ34" s="218">
        <f>DSUM(FL45:FQ89,FN45,WORK!$R$11:$S$12)</f>
        <v>0</v>
      </c>
      <c r="FR34" s="228">
        <f>DSUM(FL45:FQ89,FN45,WORK!$V$11:$W$12)</f>
        <v>0</v>
      </c>
      <c r="FS34" s="190">
        <f>DMIN(FL45:FQ89,FP45,WORK!$B$11:$B$12)</f>
        <v>0</v>
      </c>
      <c r="FT34" s="190">
        <f t="shared" si="127"/>
        <v>0</v>
      </c>
    </row>
    <row r="35" spans="2:176" ht="15" customHeight="1">
      <c r="B35" s="479"/>
      <c r="C35" s="43" t="s">
        <v>75</v>
      </c>
      <c r="D35" s="227">
        <f>DSUM(C45:H89,E45,WORK!$B$13:$C$14)+O35</f>
        <v>2</v>
      </c>
      <c r="E35" s="218">
        <f>DSUM(C45:H89,E45,WORK!$F$13:$G$14)+P35</f>
        <v>0</v>
      </c>
      <c r="F35" s="218">
        <f>DSUM(C45:H89,E45,WORK!$J$13:$K$14)+Q35</f>
        <v>1</v>
      </c>
      <c r="G35" s="218">
        <f>DSUM(C45:H89,E45,WORK!$N$13:$O$14)+R35</f>
        <v>0</v>
      </c>
      <c r="H35" s="218">
        <f>DSUM(C45:H89,E45,WORK!$R$13:$S$14)+S35</f>
        <v>0</v>
      </c>
      <c r="I35" s="228">
        <f>DSUM(C45:H89,E45,WORK!$V$13:$W$14)+T35</f>
        <v>0</v>
      </c>
      <c r="J35" s="190">
        <f>IF(DMIN(C45:H89,G45,WORK!$B$13:$B$14)=0,V35,DMIN(C45:H89,G45,WORK!$B$13:$B$14))</f>
        <v>40</v>
      </c>
      <c r="K35" s="190">
        <f>IF(SUM(D35:I35)&lt;10,J35,IF(J35&lt;=75,J35+5,IF(J35&lt;=100,J35+10,IF(J35=110,J35+15,J35+25))))</f>
        <v>40</v>
      </c>
      <c r="M35" s="479"/>
      <c r="N35" s="43" t="s">
        <v>75</v>
      </c>
      <c r="O35" s="227">
        <f t="shared" si="128"/>
        <v>2</v>
      </c>
      <c r="P35" s="218">
        <f t="shared" si="129"/>
        <v>0</v>
      </c>
      <c r="Q35" s="218">
        <f t="shared" si="130"/>
        <v>1</v>
      </c>
      <c r="R35" s="218">
        <f t="shared" si="131"/>
        <v>0</v>
      </c>
      <c r="S35" s="218">
        <f t="shared" si="132"/>
        <v>0</v>
      </c>
      <c r="T35" s="228">
        <f t="shared" si="133"/>
        <v>0</v>
      </c>
      <c r="U35" s="91">
        <v>33</v>
      </c>
      <c r="V35" s="181">
        <f t="shared" si="134"/>
        <v>40</v>
      </c>
      <c r="X35" s="479"/>
      <c r="Y35" s="43" t="s">
        <v>75</v>
      </c>
      <c r="Z35" s="227">
        <f t="shared" si="135"/>
        <v>2</v>
      </c>
      <c r="AA35" s="218">
        <f t="shared" si="136"/>
        <v>0</v>
      </c>
      <c r="AB35" s="218">
        <f t="shared" si="137"/>
        <v>1</v>
      </c>
      <c r="AC35" s="218">
        <f t="shared" si="138"/>
        <v>0</v>
      </c>
      <c r="AD35" s="218">
        <f t="shared" si="139"/>
        <v>0</v>
      </c>
      <c r="AE35" s="228">
        <f t="shared" si="140"/>
        <v>0</v>
      </c>
      <c r="AF35" s="91">
        <v>31</v>
      </c>
      <c r="AG35" s="181">
        <f t="shared" si="141"/>
        <v>35</v>
      </c>
      <c r="AI35" s="479"/>
      <c r="AJ35" s="43" t="s">
        <v>75</v>
      </c>
      <c r="AK35" s="227">
        <f t="shared" si="187"/>
        <v>2</v>
      </c>
      <c r="AL35" s="218">
        <f t="shared" si="187"/>
        <v>0</v>
      </c>
      <c r="AM35" s="218">
        <f t="shared" si="187"/>
        <v>1</v>
      </c>
      <c r="AN35" s="218">
        <f t="shared" si="142"/>
        <v>0</v>
      </c>
      <c r="AO35" s="218">
        <f t="shared" si="143"/>
        <v>0</v>
      </c>
      <c r="AP35" s="228">
        <f t="shared" si="144"/>
        <v>0</v>
      </c>
      <c r="AQ35" s="91">
        <v>0</v>
      </c>
      <c r="AR35" s="181">
        <f>IF(ISBLANK(AQ35),BC35,IF(AQ35=0,IF(BC35=30,0,IF(BC35&lt;=80,BC35-5,IF(BC35&lt;=110,BC35-10,IF(BC35=125,BC35-15,BC35-25)))),IF(BC35&lt;=75,BC35+5,IF(BC35&lt;=100,BC35+10,IF(BC35=110,BC35+15,BC35+25)))))</f>
        <v>30</v>
      </c>
      <c r="AT35" s="479"/>
      <c r="AU35" s="43" t="s">
        <v>75</v>
      </c>
      <c r="AV35" s="227">
        <f>DSUM(AU45:AZ89,AW45,WORK!$B$13:$C$14)+BG35</f>
        <v>2</v>
      </c>
      <c r="AW35" s="218">
        <f>DSUM(AU45:AZ89,AW45,WORK!$F$13:$G$14)+BH35</f>
        <v>0</v>
      </c>
      <c r="AX35" s="218">
        <f>DSUM(AU45:AZ89,AW45,WORK!$J$13:$K$14)+BI35</f>
        <v>1</v>
      </c>
      <c r="AY35" s="218">
        <f>DSUM(AU45:AZ89,AW45,WORK!$N$13:$O$14)+BJ35</f>
        <v>0</v>
      </c>
      <c r="AZ35" s="218">
        <f>DSUM(AU45:AZ89,AW45,WORK!$R$13:$S$14)+BK35</f>
        <v>0</v>
      </c>
      <c r="BA35" s="228">
        <f>DSUM(AU45:AZ89,AW45,WORK!$V$13:$W$14)+BL35</f>
        <v>0</v>
      </c>
      <c r="BB35" s="190">
        <f>IF(DMIN(AU45:AZ89,AY45,WORK!$B$13:$B$14)=0,BN35,DMIN(AU45:AZ89,AY45,WORK!$B$13:$B$14))</f>
        <v>35</v>
      </c>
      <c r="BC35" s="190">
        <f>IF(SUM(AV35:BA35)&lt;10,BB35,IF(BB35&lt;=75,BB35+5,IF(BB35&lt;=100,BB35+10,IF(BB35=110,BB35+15,BB35+25))))</f>
        <v>35</v>
      </c>
      <c r="BE35" s="479"/>
      <c r="BF35" s="43" t="s">
        <v>75</v>
      </c>
      <c r="BG35" s="227">
        <f t="shared" si="145"/>
        <v>3</v>
      </c>
      <c r="BH35" s="218">
        <f t="shared" si="146"/>
        <v>0</v>
      </c>
      <c r="BI35" s="218">
        <f t="shared" si="147"/>
        <v>1</v>
      </c>
      <c r="BJ35" s="218">
        <f t="shared" si="148"/>
        <v>0</v>
      </c>
      <c r="BK35" s="218">
        <f t="shared" si="149"/>
        <v>0</v>
      </c>
      <c r="BL35" s="228">
        <f t="shared" si="150"/>
        <v>0</v>
      </c>
      <c r="BM35" s="91">
        <v>0</v>
      </c>
      <c r="BN35" s="181">
        <f t="shared" si="151"/>
        <v>40</v>
      </c>
      <c r="BP35" s="479"/>
      <c r="BQ35" s="43" t="s">
        <v>75</v>
      </c>
      <c r="BR35" s="227">
        <f t="shared" si="152"/>
        <v>3</v>
      </c>
      <c r="BS35" s="218">
        <f t="shared" si="153"/>
        <v>0</v>
      </c>
      <c r="BT35" s="218">
        <f t="shared" si="154"/>
        <v>1</v>
      </c>
      <c r="BU35" s="218">
        <f t="shared" si="155"/>
        <v>0</v>
      </c>
      <c r="BV35" s="218">
        <f t="shared" si="156"/>
        <v>0</v>
      </c>
      <c r="BW35" s="228">
        <f t="shared" si="157"/>
        <v>0</v>
      </c>
      <c r="BX35" s="91">
        <v>12</v>
      </c>
      <c r="BY35" s="181">
        <f t="shared" si="158"/>
        <v>45</v>
      </c>
      <c r="CA35" s="479"/>
      <c r="CB35" s="43" t="s">
        <v>75</v>
      </c>
      <c r="CC35" s="227">
        <f>DSUM(CB45:CG89,CD45,WORK!$B$13:$C$14)+CN35</f>
        <v>3</v>
      </c>
      <c r="CD35" s="218">
        <f>DSUM(CB45:CG89,CD45,WORK!$F$13:$G$14)+CO35</f>
        <v>0</v>
      </c>
      <c r="CE35" s="218">
        <f>DSUM(CB45:CG89,CD45,WORK!$J$13:$K$14)+CP35</f>
        <v>1</v>
      </c>
      <c r="CF35" s="218">
        <f>DSUM(CB45:CG89,CD45,WORK!$N$13:$O$14)+CQ35</f>
        <v>0</v>
      </c>
      <c r="CG35" s="218">
        <f>DSUM(CB45:CG89,CD45,WORK!$R$13:$S$14)+CR35</f>
        <v>0</v>
      </c>
      <c r="CH35" s="228">
        <f>DSUM(CB45:CG89,CD45,WORK!$V$13:$W$14)+CS35</f>
        <v>0</v>
      </c>
      <c r="CI35" s="190">
        <f>IF(DMIN(CB45:CG89,CF45,WORK!$B$13:$B$14)=0,CU35,DMIN(CB45:CG89,CF45,WORK!$B$13:$B$14))</f>
        <v>40</v>
      </c>
      <c r="CJ35" s="190">
        <f t="shared" si="159"/>
        <v>40</v>
      </c>
      <c r="CL35" s="479"/>
      <c r="CM35" s="43" t="s">
        <v>75</v>
      </c>
      <c r="CN35" s="227">
        <f t="shared" si="160"/>
        <v>0</v>
      </c>
      <c r="CO35" s="218">
        <f t="shared" si="161"/>
        <v>0</v>
      </c>
      <c r="CP35" s="218">
        <f t="shared" si="162"/>
        <v>5</v>
      </c>
      <c r="CQ35" s="218">
        <f t="shared" si="163"/>
        <v>0</v>
      </c>
      <c r="CR35" s="218">
        <f t="shared" si="164"/>
        <v>0</v>
      </c>
      <c r="CS35" s="228">
        <f t="shared" si="165"/>
        <v>0</v>
      </c>
      <c r="CT35" s="91">
        <v>0</v>
      </c>
      <c r="CU35" s="181">
        <f t="shared" si="166"/>
        <v>60</v>
      </c>
      <c r="CW35" s="479"/>
      <c r="CX35" s="43" t="s">
        <v>75</v>
      </c>
      <c r="CY35" s="227">
        <f>DSUM(CX45:DC89,CZ45,WORK!$B$13:$C$14)+DJ35</f>
        <v>0</v>
      </c>
      <c r="CZ35" s="218">
        <f>DSUM(CX45:DC89,CZ45,WORK!$F$13:$G$14)+DK35</f>
        <v>0</v>
      </c>
      <c r="DA35" s="218">
        <f>DSUM(CX45:DC89,CZ45,WORK!$J$13:$K$14)+DL35</f>
        <v>5</v>
      </c>
      <c r="DB35" s="218">
        <f>DSUM(CX45:DC89,CZ45,WORK!$N$13:$O$14)+DM35</f>
        <v>0</v>
      </c>
      <c r="DC35" s="218">
        <f>DSUM(CX45:DC89,CZ45,WORK!$R$13:$S$14)+DN35</f>
        <v>0</v>
      </c>
      <c r="DD35" s="228">
        <f>DSUM(CX45:DC89,CZ45,WORK!$V$13:$W$14)+DO35</f>
        <v>0</v>
      </c>
      <c r="DE35" s="190">
        <f>IF(DMIN(CX45:DC89,DB45,WORK!$B$13:$B$14)=0,DQ35,DMIN(CX45:DC89,DB45,WORK!$B$13:$B$14))</f>
        <v>65</v>
      </c>
      <c r="DF35" s="190">
        <f t="shared" si="167"/>
        <v>65</v>
      </c>
      <c r="DH35" s="479"/>
      <c r="DI35" s="43" t="s">
        <v>75</v>
      </c>
      <c r="DJ35" s="227">
        <f t="shared" si="168"/>
        <v>0</v>
      </c>
      <c r="DK35" s="218">
        <f t="shared" si="169"/>
        <v>0</v>
      </c>
      <c r="DL35" s="218">
        <f t="shared" si="170"/>
        <v>0</v>
      </c>
      <c r="DM35" s="218">
        <f t="shared" si="171"/>
        <v>0</v>
      </c>
      <c r="DN35" s="218">
        <f t="shared" si="172"/>
        <v>0</v>
      </c>
      <c r="DO35" s="228">
        <f t="shared" si="173"/>
        <v>0</v>
      </c>
      <c r="DP35" s="91"/>
      <c r="DQ35" s="181">
        <f t="shared" si="174"/>
        <v>0</v>
      </c>
      <c r="DS35" s="479"/>
      <c r="DT35" s="43" t="s">
        <v>75</v>
      </c>
      <c r="DU35" s="227">
        <f>DSUM(DT45:DY89,DV45,WORK!$B$13:$C$14)+EF35</f>
        <v>0</v>
      </c>
      <c r="DV35" s="218">
        <f>DSUM(DT45:DY89,DV45,WORK!$F$13:$G$14)+EG35</f>
        <v>0</v>
      </c>
      <c r="DW35" s="218">
        <f>DSUM(DT45:DY89,DV45,WORK!$J$13:$K$14)+EH35</f>
        <v>0</v>
      </c>
      <c r="DX35" s="218">
        <f>DSUM(DT45:DY89,DV45,WORK!$N$13:$O$14)+EI35</f>
        <v>0</v>
      </c>
      <c r="DY35" s="218">
        <f>DSUM(DT45:DY89,DV45,WORK!$R$13:$S$14)+EJ35</f>
        <v>0</v>
      </c>
      <c r="DZ35" s="228">
        <f>DSUM(DT45:DY89,DV45,WORK!$V$13:$W$14)+EK35</f>
        <v>0</v>
      </c>
      <c r="EA35" s="190">
        <f>IF(DMIN(DT45:DY89,DX45,WORK!$B$13:$B$14)=0,EM35,DMIN(DT45:DY89,DX45,WORK!$B$13:$B$14))</f>
        <v>0</v>
      </c>
      <c r="EB35" s="190">
        <f t="shared" si="175"/>
        <v>0</v>
      </c>
      <c r="ED35" s="479"/>
      <c r="EE35" s="43" t="s">
        <v>75</v>
      </c>
      <c r="EF35" s="227">
        <f t="shared" si="176"/>
        <v>0</v>
      </c>
      <c r="EG35" s="218">
        <f t="shared" si="177"/>
        <v>0</v>
      </c>
      <c r="EH35" s="218">
        <f t="shared" si="178"/>
        <v>0</v>
      </c>
      <c r="EI35" s="218">
        <f t="shared" si="179"/>
        <v>0</v>
      </c>
      <c r="EJ35" s="218">
        <f t="shared" si="180"/>
        <v>0</v>
      </c>
      <c r="EK35" s="228">
        <f t="shared" si="181"/>
        <v>0</v>
      </c>
      <c r="EL35" s="91"/>
      <c r="EM35" s="181">
        <f t="shared" si="182"/>
        <v>0</v>
      </c>
      <c r="EO35" s="479"/>
      <c r="EP35" s="43" t="s">
        <v>75</v>
      </c>
      <c r="EQ35" s="227">
        <f>DSUM(EP45:EU89,ER45,WORK!$B$13:$C$14)+FB35</f>
        <v>0</v>
      </c>
      <c r="ER35" s="218">
        <f>DSUM(EP45:EU89,ER45,WORK!$F$13:$G$14)+FC35</f>
        <v>0</v>
      </c>
      <c r="ES35" s="218">
        <f>DSUM(EP45:EU89,ER45,WORK!$J$13:$K$14)+FD35</f>
        <v>0</v>
      </c>
      <c r="ET35" s="218">
        <f>DSUM(EP45:EU89,ER45,WORK!$N$13:$O$14)+FE35</f>
        <v>0</v>
      </c>
      <c r="EU35" s="218">
        <f>DSUM(EP45:EU89,ER45,WORK!$R$13:$S$14)+FF35</f>
        <v>0</v>
      </c>
      <c r="EV35" s="228">
        <f>DSUM(EP45:EU89,ER45,WORK!$V$13:$W$14)+FG35</f>
        <v>0</v>
      </c>
      <c r="EW35" s="190">
        <f>IF(DMIN(EP45:EU89,ET45,WORK!$B$13:$B$14)=0,FI35,DMIN(EP45:EU89,ET45,WORK!$B$13:$B$14))</f>
        <v>0</v>
      </c>
      <c r="EX35" s="190">
        <f t="shared" si="183"/>
        <v>0</v>
      </c>
      <c r="EZ35" s="479"/>
      <c r="FA35" s="43" t="s">
        <v>75</v>
      </c>
      <c r="FB35" s="227">
        <f t="shared" si="184"/>
        <v>0</v>
      </c>
      <c r="FC35" s="218">
        <f t="shared" si="184"/>
        <v>0</v>
      </c>
      <c r="FD35" s="218">
        <f t="shared" si="184"/>
        <v>0</v>
      </c>
      <c r="FE35" s="218">
        <f t="shared" si="184"/>
        <v>0</v>
      </c>
      <c r="FF35" s="218">
        <f t="shared" si="184"/>
        <v>0</v>
      </c>
      <c r="FG35" s="228">
        <f t="shared" si="185"/>
        <v>0</v>
      </c>
      <c r="FH35" s="91"/>
      <c r="FI35" s="181">
        <f t="shared" si="186"/>
        <v>0</v>
      </c>
      <c r="FK35" s="510"/>
      <c r="FL35" s="43" t="s">
        <v>75</v>
      </c>
      <c r="FM35" s="227">
        <f>DSUM(FL45:FQ89,FN45,WORK!$B$13:$C$14)</f>
        <v>0</v>
      </c>
      <c r="FN35" s="218">
        <f>DSUM(FL45:FQ89,FN45,WORK!$F$13:$G$14)</f>
        <v>0</v>
      </c>
      <c r="FO35" s="218">
        <f>DSUM(FL45:FQ89,FN45,WORK!$J$13:$K$14)</f>
        <v>0</v>
      </c>
      <c r="FP35" s="218">
        <f>DSUM(FL45:FQ89,FN45,WORK!$N$13:$O$14)</f>
        <v>0</v>
      </c>
      <c r="FQ35" s="218">
        <f>DSUM(FL45:FQ89,FN45,WORK!$R$13:$S$14)</f>
        <v>0</v>
      </c>
      <c r="FR35" s="228">
        <f>DSUM(FL45:FQ89,FN45,WORK!$V$13:$W$14)</f>
        <v>0</v>
      </c>
      <c r="FS35" s="190">
        <f>DMIN(FL45:FQ89,FP45,WORK!$B$13:$B$14)</f>
        <v>0</v>
      </c>
      <c r="FT35" s="190">
        <f t="shared" si="127"/>
        <v>0</v>
      </c>
    </row>
    <row r="36" spans="2:176" ht="14.25" customHeight="1" thickBot="1">
      <c r="B36" s="453"/>
      <c r="C36" s="48" t="s">
        <v>63</v>
      </c>
      <c r="D36" s="229">
        <f>DSUM(C45:H89,E45,WORK!$B$15:$C$16)+O36</f>
        <v>1</v>
      </c>
      <c r="E36" s="230">
        <f>DSUM(C45:H89,E45,WORK!$F$15:$G$16)+P36</f>
        <v>4</v>
      </c>
      <c r="F36" s="230">
        <f>DSUM(C45:H89,E45,WORK!$J$15:$K$16)+Q36</f>
        <v>5</v>
      </c>
      <c r="G36" s="230">
        <f>DSUM(C45:H89,E45,WORK!$N$15:$O$16)+R36</f>
        <v>0</v>
      </c>
      <c r="H36" s="230">
        <f>DSUM(C45:H89,E45,WORK!$R$15:$S$16)+S36</f>
        <v>0</v>
      </c>
      <c r="I36" s="231">
        <f>DSUM(C45:H89,E45,WORK!$V$15:$W$16)+T36</f>
        <v>0</v>
      </c>
      <c r="J36" s="191">
        <f>IF(DMIN(C45:H89,G45,WORK!$B$15:$B$16)=0,V36,DMIN(C45:H89,G45,WORK!$B$15:$B$16))</f>
        <v>75</v>
      </c>
      <c r="K36" s="191">
        <f>IF(SUM(D36:I36)&lt;10,J36,IF(J36&lt;=75,J36+5,IF(J36&lt;=100,J36+10,IF(J36=110,J36+15,J36+25))))</f>
        <v>80</v>
      </c>
      <c r="M36" s="453"/>
      <c r="N36" s="48" t="s">
        <v>63</v>
      </c>
      <c r="O36" s="229">
        <f t="shared" si="128"/>
        <v>1</v>
      </c>
      <c r="P36" s="230">
        <f t="shared" si="129"/>
        <v>4</v>
      </c>
      <c r="Q36" s="230">
        <f t="shared" si="130"/>
        <v>5</v>
      </c>
      <c r="R36" s="230">
        <f t="shared" si="131"/>
        <v>0</v>
      </c>
      <c r="S36" s="230">
        <f t="shared" si="132"/>
        <v>0</v>
      </c>
      <c r="T36" s="231">
        <f t="shared" si="133"/>
        <v>0</v>
      </c>
      <c r="U36" s="94">
        <v>0</v>
      </c>
      <c r="V36" s="181">
        <f t="shared" si="134"/>
        <v>75</v>
      </c>
      <c r="X36" s="453"/>
      <c r="Y36" s="48" t="s">
        <v>63</v>
      </c>
      <c r="Z36" s="229">
        <f t="shared" si="135"/>
        <v>1</v>
      </c>
      <c r="AA36" s="230">
        <f t="shared" si="136"/>
        <v>4</v>
      </c>
      <c r="AB36" s="230">
        <f t="shared" si="137"/>
        <v>5</v>
      </c>
      <c r="AC36" s="230">
        <f t="shared" si="138"/>
        <v>0</v>
      </c>
      <c r="AD36" s="230">
        <f t="shared" si="139"/>
        <v>0</v>
      </c>
      <c r="AE36" s="231">
        <f t="shared" si="140"/>
        <v>0</v>
      </c>
      <c r="AF36" s="94">
        <v>0</v>
      </c>
      <c r="AG36" s="181">
        <f t="shared" si="141"/>
        <v>80</v>
      </c>
      <c r="AI36" s="453"/>
      <c r="AJ36" s="48" t="s">
        <v>63</v>
      </c>
      <c r="AK36" s="229">
        <f t="shared" si="187"/>
        <v>1</v>
      </c>
      <c r="AL36" s="230">
        <f t="shared" si="187"/>
        <v>4</v>
      </c>
      <c r="AM36" s="230">
        <f t="shared" si="187"/>
        <v>5</v>
      </c>
      <c r="AN36" s="230">
        <f t="shared" si="142"/>
        <v>0</v>
      </c>
      <c r="AO36" s="230">
        <f t="shared" si="143"/>
        <v>0</v>
      </c>
      <c r="AP36" s="231">
        <f t="shared" si="144"/>
        <v>0</v>
      </c>
      <c r="AQ36" s="94">
        <v>0</v>
      </c>
      <c r="AR36" s="181">
        <f>IF(ISBLANK(AQ36),BC36,IF(AQ36=0,IF(BC36=30,0,IF(BC36&lt;=80,BC36-5,IF(BC36&lt;=110,BC36-10,IF(BC36=125,BC36-15,BC36-25)))),IF(BC36&lt;=75,BC36+5,IF(BC36&lt;=100,BC36+10,IF(BC36=110,BC36+15,BC36+25)))))</f>
        <v>90</v>
      </c>
      <c r="AT36" s="453"/>
      <c r="AU36" s="48" t="s">
        <v>63</v>
      </c>
      <c r="AV36" s="229">
        <f>DSUM(AU45:AZ89,AW45,WORK!$B$15:$C$16)+BG36</f>
        <v>1</v>
      </c>
      <c r="AW36" s="230">
        <f>DSUM(AU45:AZ89,AW45,WORK!$F$15:$G$16)+BH36</f>
        <v>4</v>
      </c>
      <c r="AX36" s="230">
        <f>DSUM(AU45:AZ89,AW45,WORK!$J$15:$K$16)+BI36</f>
        <v>5</v>
      </c>
      <c r="AY36" s="230">
        <f>DSUM(AU45:AZ89,AW45,WORK!$N$15:$O$16)+BJ36</f>
        <v>0</v>
      </c>
      <c r="AZ36" s="230">
        <f>DSUM(AU45:AZ89,AW45,WORK!$R$15:$S$16)+BK36</f>
        <v>0</v>
      </c>
      <c r="BA36" s="231">
        <f>DSUM(AU45:AZ89,AW45,WORK!$V$15:$W$16)+BL36</f>
        <v>0</v>
      </c>
      <c r="BB36" s="191">
        <f>IF(DMIN(AU45:AZ89,AY45,WORK!$B$15:$B$16)=0,BN36,DMIN(AU45:AZ89,AY45,WORK!$B$15:$B$16))</f>
        <v>100</v>
      </c>
      <c r="BC36" s="435">
        <v>100</v>
      </c>
      <c r="BE36" s="453"/>
      <c r="BF36" s="48" t="s">
        <v>63</v>
      </c>
      <c r="BG36" s="229">
        <f t="shared" si="145"/>
        <v>0</v>
      </c>
      <c r="BH36" s="230">
        <f t="shared" si="146"/>
        <v>0</v>
      </c>
      <c r="BI36" s="230">
        <f t="shared" si="147"/>
        <v>5</v>
      </c>
      <c r="BJ36" s="230">
        <f t="shared" si="148"/>
        <v>0</v>
      </c>
      <c r="BK36" s="230">
        <f t="shared" si="149"/>
        <v>0</v>
      </c>
      <c r="BL36" s="231">
        <f t="shared" si="150"/>
        <v>0</v>
      </c>
      <c r="BM36" s="94">
        <v>15</v>
      </c>
      <c r="BN36" s="181">
        <f t="shared" si="151"/>
        <v>100</v>
      </c>
      <c r="BP36" s="453"/>
      <c r="BQ36" s="48" t="s">
        <v>63</v>
      </c>
      <c r="BR36" s="229">
        <f t="shared" si="152"/>
        <v>0</v>
      </c>
      <c r="BS36" s="230">
        <f t="shared" si="153"/>
        <v>0</v>
      </c>
      <c r="BT36" s="230">
        <f t="shared" si="154"/>
        <v>5</v>
      </c>
      <c r="BU36" s="230">
        <f t="shared" si="155"/>
        <v>0</v>
      </c>
      <c r="BV36" s="230">
        <f t="shared" si="156"/>
        <v>0</v>
      </c>
      <c r="BW36" s="231">
        <f t="shared" si="157"/>
        <v>0</v>
      </c>
      <c r="BX36" s="94">
        <v>0</v>
      </c>
      <c r="BY36" s="181">
        <f t="shared" si="158"/>
        <v>90</v>
      </c>
      <c r="CA36" s="453"/>
      <c r="CB36" s="48" t="s">
        <v>63</v>
      </c>
      <c r="CC36" s="229">
        <f>DSUM(CB45:CG89,CD45,WORK!$B$15:$C$16)+CN36</f>
        <v>0</v>
      </c>
      <c r="CD36" s="230">
        <f>DSUM(CB45:CG89,CD45,WORK!$F$15:$G$16)+CO36</f>
        <v>0</v>
      </c>
      <c r="CE36" s="230">
        <f>DSUM(CB45:CG89,CD45,WORK!$J$15:$K$16)+CP36</f>
        <v>5</v>
      </c>
      <c r="CF36" s="230">
        <f>DSUM(CB45:CG89,CD45,WORK!$N$15:$O$16)+CQ36</f>
        <v>0</v>
      </c>
      <c r="CG36" s="230">
        <f>DSUM(CB45:CG89,CD45,WORK!$R$15:$S$16)+CR36</f>
        <v>0</v>
      </c>
      <c r="CH36" s="231">
        <f>DSUM(CB45:CG89,CD45,WORK!$V$15:$W$16)+CS36</f>
        <v>0</v>
      </c>
      <c r="CI36" s="191">
        <f>IF(DMIN(CB45:CG89,CF45,WORK!$B$15:$B$16)=0,CU36,DMIN(CB45:CG89,CF45,WORK!$B$15:$B$16))</f>
        <v>100</v>
      </c>
      <c r="CJ36" s="191">
        <f t="shared" si="159"/>
        <v>100</v>
      </c>
      <c r="CL36" s="453"/>
      <c r="CM36" s="48" t="s">
        <v>63</v>
      </c>
      <c r="CN36" s="229">
        <f t="shared" si="160"/>
        <v>0</v>
      </c>
      <c r="CO36" s="230">
        <f t="shared" si="161"/>
        <v>0</v>
      </c>
      <c r="CP36" s="230">
        <f t="shared" si="162"/>
        <v>0</v>
      </c>
      <c r="CQ36" s="230">
        <f t="shared" si="163"/>
        <v>0</v>
      </c>
      <c r="CR36" s="230">
        <f t="shared" si="164"/>
        <v>0</v>
      </c>
      <c r="CS36" s="231">
        <f t="shared" si="165"/>
        <v>0</v>
      </c>
      <c r="CT36" s="94"/>
      <c r="CU36" s="181">
        <f t="shared" si="166"/>
        <v>0</v>
      </c>
      <c r="CW36" s="453"/>
      <c r="CX36" s="48" t="s">
        <v>63</v>
      </c>
      <c r="CY36" s="229">
        <f>DSUM(CX45:DC89,CZ45,WORK!$B$15:$C$16)+DJ36</f>
        <v>0</v>
      </c>
      <c r="CZ36" s="230">
        <f>DSUM(CX45:DC89,CZ45,WORK!$F$15:$G$16)+DK36</f>
        <v>0</v>
      </c>
      <c r="DA36" s="230">
        <f>DSUM(CX45:DC89,CZ45,WORK!$J$15:$K$16)+DL36</f>
        <v>0</v>
      </c>
      <c r="DB36" s="230">
        <f>DSUM(CX45:DC89,CZ45,WORK!$N$15:$O$16)+DM36</f>
        <v>0</v>
      </c>
      <c r="DC36" s="230">
        <f>DSUM(CX45:DC89,CZ45,WORK!$R$15:$S$16)+DN36</f>
        <v>0</v>
      </c>
      <c r="DD36" s="231">
        <f>DSUM(CX45:DC89,CZ45,WORK!$V$15:$W$16)+DO36</f>
        <v>0</v>
      </c>
      <c r="DE36" s="191">
        <f>IF(DMIN(CX45:DC89,DB45,WORK!$B$15:$B$16)=0,DQ36,DMIN(CX45:DC89,DB45,WORK!$B$15:$B$16))</f>
        <v>0</v>
      </c>
      <c r="DF36" s="191">
        <f t="shared" si="167"/>
        <v>0</v>
      </c>
      <c r="DH36" s="453"/>
      <c r="DI36" s="48" t="s">
        <v>63</v>
      </c>
      <c r="DJ36" s="229">
        <f t="shared" si="168"/>
        <v>0</v>
      </c>
      <c r="DK36" s="230">
        <f t="shared" si="169"/>
        <v>0</v>
      </c>
      <c r="DL36" s="230">
        <f t="shared" si="170"/>
        <v>0</v>
      </c>
      <c r="DM36" s="230">
        <f t="shared" si="171"/>
        <v>0</v>
      </c>
      <c r="DN36" s="230">
        <f t="shared" si="172"/>
        <v>0</v>
      </c>
      <c r="DO36" s="231">
        <f t="shared" si="173"/>
        <v>0</v>
      </c>
      <c r="DP36" s="94"/>
      <c r="DQ36" s="181">
        <f t="shared" si="174"/>
        <v>0</v>
      </c>
      <c r="DS36" s="453"/>
      <c r="DT36" s="48" t="s">
        <v>63</v>
      </c>
      <c r="DU36" s="229">
        <f>DSUM(DT45:DY89,DV45,WORK!$B$15:$C$16)+EF36</f>
        <v>0</v>
      </c>
      <c r="DV36" s="230">
        <f>DSUM(DT45:DY89,DV45,WORK!$F$15:$G$16)+EG36</f>
        <v>0</v>
      </c>
      <c r="DW36" s="230">
        <f>DSUM(DT45:DY89,DV45,WORK!$J$15:$K$16)+EH36</f>
        <v>0</v>
      </c>
      <c r="DX36" s="230">
        <f>DSUM(DT45:DY89,DV45,WORK!$N$15:$O$16)+EI36</f>
        <v>0</v>
      </c>
      <c r="DY36" s="230">
        <f>DSUM(DT45:DY89,DV45,WORK!$R$15:$S$16)+EJ36</f>
        <v>0</v>
      </c>
      <c r="DZ36" s="231">
        <f>DSUM(DT45:DY89,DV45,WORK!$V$15:$W$16)+EK36</f>
        <v>0</v>
      </c>
      <c r="EA36" s="191">
        <f>IF(DMIN(DT45:DY89,DX45,WORK!$B$15:$B$16)=0,EM36,DMIN(DT45:DY89,DX45,WORK!$B$15:$B$16))</f>
        <v>0</v>
      </c>
      <c r="EB36" s="191">
        <f t="shared" si="175"/>
        <v>0</v>
      </c>
      <c r="ED36" s="453"/>
      <c r="EE36" s="48" t="s">
        <v>63</v>
      </c>
      <c r="EF36" s="229">
        <f t="shared" si="176"/>
        <v>0</v>
      </c>
      <c r="EG36" s="230">
        <f t="shared" si="177"/>
        <v>0</v>
      </c>
      <c r="EH36" s="230">
        <f t="shared" si="178"/>
        <v>0</v>
      </c>
      <c r="EI36" s="230">
        <f t="shared" si="179"/>
        <v>0</v>
      </c>
      <c r="EJ36" s="230">
        <f t="shared" si="180"/>
        <v>0</v>
      </c>
      <c r="EK36" s="231">
        <f t="shared" si="181"/>
        <v>0</v>
      </c>
      <c r="EL36" s="94"/>
      <c r="EM36" s="181">
        <f t="shared" si="182"/>
        <v>0</v>
      </c>
      <c r="EO36" s="453"/>
      <c r="EP36" s="48" t="s">
        <v>63</v>
      </c>
      <c r="EQ36" s="229">
        <f>DSUM(EP45:EU89,ER45,WORK!$B$15:$C$16)+FB36</f>
        <v>0</v>
      </c>
      <c r="ER36" s="230">
        <f>DSUM(EP45:EU89,ER45,WORK!$F$15:$G$16)+FC36</f>
        <v>0</v>
      </c>
      <c r="ES36" s="230">
        <f>DSUM(EP45:EU89,ER45,WORK!$J$15:$K$16)+FD36</f>
        <v>0</v>
      </c>
      <c r="ET36" s="230">
        <f>DSUM(EP45:EU89,ER45,WORK!$N$15:$O$16)+FE36</f>
        <v>0</v>
      </c>
      <c r="EU36" s="230">
        <f>DSUM(EP45:EU89,ER45,WORK!$R$15:$S$16)+FF36</f>
        <v>0</v>
      </c>
      <c r="EV36" s="231">
        <f>DSUM(EP45:EU89,ER45,WORK!$V$15:$W$16)+FG36</f>
        <v>0</v>
      </c>
      <c r="EW36" s="191">
        <f>IF(DMIN(EP45:EU89,ET45,WORK!$B$15:$B$16)=0,FI36,DMIN(EP45:EU89,ET45,WORK!$B$15:$B$16))</f>
        <v>0</v>
      </c>
      <c r="EX36" s="191">
        <f t="shared" si="183"/>
        <v>0</v>
      </c>
      <c r="EZ36" s="453"/>
      <c r="FA36" s="48" t="s">
        <v>63</v>
      </c>
      <c r="FB36" s="229">
        <f t="shared" si="184"/>
        <v>0</v>
      </c>
      <c r="FC36" s="230">
        <f t="shared" si="184"/>
        <v>0</v>
      </c>
      <c r="FD36" s="230">
        <f t="shared" si="184"/>
        <v>0</v>
      </c>
      <c r="FE36" s="230">
        <f t="shared" si="184"/>
        <v>0</v>
      </c>
      <c r="FF36" s="230">
        <f t="shared" si="184"/>
        <v>0</v>
      </c>
      <c r="FG36" s="231">
        <f t="shared" si="185"/>
        <v>0</v>
      </c>
      <c r="FH36" s="94"/>
      <c r="FI36" s="181">
        <f t="shared" si="186"/>
        <v>0</v>
      </c>
      <c r="FK36" s="546"/>
      <c r="FL36" s="48" t="s">
        <v>63</v>
      </c>
      <c r="FM36" s="229">
        <f>DSUM(FL45:FQ89,FN45,WORK!$B$15:$C$16)</f>
        <v>0</v>
      </c>
      <c r="FN36" s="230">
        <f>DSUM(FL45:FQ89,FN45,WORK!$F$15:$G$16)</f>
        <v>0</v>
      </c>
      <c r="FO36" s="230">
        <f>DSUM(FL45:FQ89,FN45,WORK!$J$15:$K$16)</f>
        <v>0</v>
      </c>
      <c r="FP36" s="230">
        <f>DSUM(FL45:FQ89,FN45,WORK!$N$15:$O$16)</f>
        <v>0</v>
      </c>
      <c r="FQ36" s="230">
        <f>DSUM(FL45:FQ89,FN45,WORK!$R$15:$S$16)</f>
        <v>0</v>
      </c>
      <c r="FR36" s="231">
        <f>DSUM(FL45:FQ89,FN45,WORK!$V$15:$W$16)</f>
        <v>0</v>
      </c>
      <c r="FS36" s="191">
        <f>DMIN(FL45:FQ89,FP45,WORK!$B$15:$B$16)</f>
        <v>0</v>
      </c>
      <c r="FT36" s="191">
        <f>IF(SUM(FM36:FR36)&lt;10,FS36,IF(FS36&lt;=75,FS36+5,IF(FS36&lt;=100,FS36+10,IF(FS36=110,FS36+15,FS36+25))))</f>
        <v>0</v>
      </c>
    </row>
    <row r="37" spans="2:174" ht="13.5" customHeight="1" thickBot="1">
      <c r="B37" s="478" t="s">
        <v>64</v>
      </c>
      <c r="C37" s="153" t="s">
        <v>24</v>
      </c>
      <c r="D37" s="154">
        <f>IF(ISBLANK(D39),0,J39)+IF(ISBLANK(D40),0,J40)+IF(ISBLANK(D41),0,J41)+IF(ISBLANK(D42),0,J42)+IF(ISBLANK(D43),0,J43)</f>
        <v>200</v>
      </c>
      <c r="E37" s="30">
        <f>IF(ISBLANK(E39),0,J39)+IF(ISBLANK(E40),0,J40)+IF(ISBLANK(E41),0,J41)+IF(ISBLANK(E42),0,J42)+IF(ISBLANK(E43),0,J43)</f>
        <v>320</v>
      </c>
      <c r="F37" s="154">
        <f>IF(ISBLANK(F39),0,J39)+IF(ISBLANK(F40),0,J40)+IF(ISBLANK(F41),0,J41)+IF(ISBLANK(F42),0,J42)+IF(ISBLANK(F43),0,J43)</f>
        <v>520</v>
      </c>
      <c r="G37" s="154">
        <f>IF(ISBLANK(G39),0,J39)+IF(ISBLANK(G40),0,J40)+IF(ISBLANK(G41),0,J41)+IF(ISBLANK(G42),0,J42)+IF(ISBLANK(G43),0,J43)</f>
        <v>0</v>
      </c>
      <c r="H37" s="154">
        <f>IF(ISBLANK(H39),0,J39)+IF(ISBLANK(H40),0,J40)+IF(ISBLANK(H41),0,J41)+IF(ISBLANK(H42),0,J42)+IF(ISBLANK(H43),0,J43)</f>
        <v>0</v>
      </c>
      <c r="I37" s="73">
        <f>IF(ISBLANK(I39),0,J39)+IF(ISBLANK(I40),0,J40)+IF(ISBLANK(I41),0,J41)+IF(ISBLANK(I42),0,J42)+IF(ISBLANK(I43),0,J43)</f>
        <v>0</v>
      </c>
      <c r="J37" s="456" t="s">
        <v>71</v>
      </c>
      <c r="K37" s="125"/>
      <c r="M37" s="478" t="s">
        <v>64</v>
      </c>
      <c r="N37" s="159" t="s">
        <v>24</v>
      </c>
      <c r="O37" s="177">
        <f>IF(O39="",0,V39)+IF(O40="",0,V40)+IF(O41="",0,V41)+IF(O42="",0,V42)+IF(O43="",0,V43)</f>
        <v>200</v>
      </c>
      <c r="P37" s="30">
        <f>IF(P39="",0,V39)+IF(P40="",0,V40)+IF(P41="",0,V41)+IF(P42="",0,V42)+IF(P43="",0,V43)</f>
        <v>320</v>
      </c>
      <c r="Q37" s="154">
        <f>IF(Q39="",0,V39)+IF(Q40="",0,V40)+IF(Q41="",0,V41)+IF(Q42="",0,V42)+IF(Q43="",0,V43)</f>
        <v>520</v>
      </c>
      <c r="R37" s="154">
        <f>IF(R39="",0,V39)+IF(R40="",0,V40)+IF(R41="",0,V41)+IF(R42="",0,V42)+IF(R43="",0,V43)</f>
        <v>0</v>
      </c>
      <c r="S37" s="154">
        <f>IF(S39="",0,V39)+IF(S40="",0,V40)+IF(S41="",0,V41)+IF(S42="",0,V42)+IF(S43="",0,V43)</f>
        <v>0</v>
      </c>
      <c r="T37" s="178">
        <f>IF(T39="",0,V39)+IF(T40="",0,V40)+IF(T41="",0,V41)+IF(T42="",0,V42)+IF(T43="",0,V43)</f>
        <v>0</v>
      </c>
      <c r="U37" s="454" t="s">
        <v>20</v>
      </c>
      <c r="V37" s="456" t="s">
        <v>31</v>
      </c>
      <c r="X37" s="478" t="s">
        <v>64</v>
      </c>
      <c r="Y37" s="159" t="s">
        <v>24</v>
      </c>
      <c r="Z37" s="177">
        <f>IF(Z39="",0,AG39)+IF(Z40="",0,AG40)+IF(Z41="",0,AG41)+IF(Z42="",0,AG42)+IF(Z43="",0,AG43)</f>
        <v>200</v>
      </c>
      <c r="AA37" s="30">
        <f>IF(AA39="",0,AG39)+IF(AA40="",0,AG40)+IF(AA41="",0,AG41)+IF(AA42="",0,AG42)+IF(AA43="",0,AG43)</f>
        <v>320</v>
      </c>
      <c r="AB37" s="154">
        <f>IF(AB39="",0,AG39)+IF(AB40="",0,AG40)+IF(AB41="",0,AG41)+IF(AB42="",0,AG42)+IF(AB43="",0,AG43)</f>
        <v>520</v>
      </c>
      <c r="AC37" s="154">
        <f>IF(AC39="",0,AG39)+IF(AC40="",0,AG40)+IF(AC41="",0,AG41)+IF(AC42="",0,AG42)+IF(AC43="",0,AG43)</f>
        <v>0</v>
      </c>
      <c r="AD37" s="154">
        <f>IF(AD39="",0,AG39)+IF(AD40="",0,AG40)+IF(AD41="",0,AG41)+IF(AD42="",0,AG42)+IF(AD43="",0,AG43)</f>
        <v>0</v>
      </c>
      <c r="AE37" s="178">
        <f>IF(AE39="",0,AG39)+IF(AE40="",0,AG40)+IF(AE41="",0,AG41)+IF(AE42="",0,AG42)+IF(AE43="",0,AG43)</f>
        <v>0</v>
      </c>
      <c r="AF37" s="454" t="s">
        <v>20</v>
      </c>
      <c r="AG37" s="456" t="s">
        <v>31</v>
      </c>
      <c r="AI37" s="478" t="s">
        <v>64</v>
      </c>
      <c r="AJ37" s="159" t="s">
        <v>24</v>
      </c>
      <c r="AK37" s="177">
        <f>IF(AK39="",0,AR39)+IF(AK40="",0,AR40)+IF(AK41="",0,AR41)+IF(AK42="",0,AR42)+IF(AK43="",0,AR43)</f>
        <v>200</v>
      </c>
      <c r="AL37" s="30">
        <f>IF(AL39="",0,AR39)+IF(AL40="",0,AR40)+IF(AL41="",0,AR41)+IF(AL42="",0,AR42)+IF(AL43="",0,AR43)</f>
        <v>320</v>
      </c>
      <c r="AM37" s="154">
        <f>IF(AM39="",0,AR39)+IF(AM40="",0,AR40)+IF(AM41="",0,AR41)+IF(AM42="",0,AR42)+IF(AM43="",0,AR43)</f>
        <v>520</v>
      </c>
      <c r="AN37" s="154">
        <f>IF(AN39="",0,AR39)+IF(AN40="",0,AR40)+IF(AN41="",0,AR41)+IF(AN42="",0,AR42)+IF(AN43="",0,AR43)</f>
        <v>0</v>
      </c>
      <c r="AO37" s="154">
        <f>IF(AO39="",0,AR39)+IF(AO40="",0,AR40)+IF(AO41="",0,AR41)+IF(AO42="",0,AR42)+IF(AO43="",0,AR43)</f>
        <v>0</v>
      </c>
      <c r="AP37" s="178">
        <f>IF(AP39="",0,AR39)+IF(AP40="",0,AR40)+IF(AP41="",0,AR41)+IF(AP42="",0,AR42)+IF(AP43="",0,AR43)</f>
        <v>0</v>
      </c>
      <c r="AQ37" s="454" t="s">
        <v>20</v>
      </c>
      <c r="AR37" s="456" t="s">
        <v>31</v>
      </c>
      <c r="AT37" s="478" t="s">
        <v>64</v>
      </c>
      <c r="AU37" s="153" t="s">
        <v>24</v>
      </c>
      <c r="AV37" s="154">
        <f>IF(ISBLANK(AV39),0,BB39)+IF(ISBLANK(AV40),0,BB40)+IF(ISBLANK(AV41),0,BB41)+IF(ISBLANK(AV42),0,BB42)+IF(ISBLANK(AV43),0,BB43)</f>
        <v>200</v>
      </c>
      <c r="AW37" s="30">
        <f>IF(ISBLANK(AW39),0,BB39)+IF(ISBLANK(AW40),0,BB40)+IF(ISBLANK(AW41),0,BB41)+IF(ISBLANK(AW42),0,BB42)+IF(ISBLANK(AW43),0,BB43)</f>
        <v>320</v>
      </c>
      <c r="AX37" s="154">
        <f>IF(ISBLANK(AX39),0,BB39)+IF(ISBLANK(AX40),0,BB40)+IF(ISBLANK(AX41),0,BB41)+IF(ISBLANK(AX42),0,BB42)+IF(ISBLANK(AX43),0,BB43)</f>
        <v>520</v>
      </c>
      <c r="AY37" s="154">
        <f>IF(ISBLANK(AY39),0,BB39)+IF(ISBLANK(AY40),0,BB40)+IF(ISBLANK(AY41),0,BB41)+IF(ISBLANK(AY42),0,BB42)+IF(ISBLANK(AY43),0,BB43)</f>
        <v>0</v>
      </c>
      <c r="AZ37" s="154">
        <f>IF(ISBLANK(AZ39),0,BB39)+IF(ISBLANK(AZ40),0,BB40)+IF(ISBLANK(AZ41),0,BB41)+IF(ISBLANK(AZ42),0,BB42)+IF(ISBLANK(AZ43),0,BB43)</f>
        <v>0</v>
      </c>
      <c r="BA37" s="73">
        <f>IF(ISBLANK(BA39),0,BB39)+IF(ISBLANK(BA40),0,BB40)+IF(ISBLANK(BA41),0,BB41)+IF(ISBLANK(BA42),0,BB42)+IF(ISBLANK(BA43),0,BB43)</f>
        <v>0</v>
      </c>
      <c r="BB37" s="456" t="s">
        <v>71</v>
      </c>
      <c r="BC37" s="125"/>
      <c r="BE37" s="478" t="s">
        <v>64</v>
      </c>
      <c r="BF37" s="159" t="s">
        <v>24</v>
      </c>
      <c r="BG37" s="177">
        <f>IF(BG39="",0,BN39)+IF(BG40="",0,BN40)+IF(BG41="",0,BN41)+IF(BG42="",0,BN42)+IF(BG43="",0,BN43)</f>
        <v>200</v>
      </c>
      <c r="BH37" s="30">
        <f>IF(BH39="",0,BN39)+IF(BH40="",0,BN40)+IF(BH41="",0,BN41)+IF(BH42="",0,BN42)+IF(BH43="",0,BN43)</f>
        <v>320</v>
      </c>
      <c r="BI37" s="154">
        <f>IF(BI39="",0,BN39)+IF(BI40="",0,BN40)+IF(BI41="",0,BN41)+IF(BI42="",0,BN42)+IF(BI43="",0,BN43)</f>
        <v>280</v>
      </c>
      <c r="BJ37" s="154">
        <f>IF(BJ39="",0,BN39)+IF(BJ40="",0,BN40)+IF(BJ41="",0,BN41)+IF(BJ42="",0,BN42)+IF(BJ43="",0,BN43)</f>
        <v>0</v>
      </c>
      <c r="BK37" s="154">
        <f>IF(BK39="",0,BN39)+IF(BK40="",0,BN40)+IF(BK41="",0,BN41)+IF(BK42="",0,BN42)+IF(BK43="",0,BN43)</f>
        <v>0</v>
      </c>
      <c r="BL37" s="178">
        <f>IF(BL39="",0,BN39)+IF(BL40="",0,BN40)+IF(BL41="",0,BN41)+IF(BL42="",0,BN42)+IF(BL43="",0,BN43)</f>
        <v>0</v>
      </c>
      <c r="BM37" s="454" t="s">
        <v>20</v>
      </c>
      <c r="BN37" s="456" t="s">
        <v>31</v>
      </c>
      <c r="BP37" s="478" t="s">
        <v>64</v>
      </c>
      <c r="BQ37" s="159" t="s">
        <v>24</v>
      </c>
      <c r="BR37" s="177">
        <f>IF(BR39="",0,BY39)+IF(BR40="",0,BY40)+IF(BR41="",0,BY41)+IF(BR42="",0,BY42)+IF(BR43="",0,BY43)</f>
        <v>200</v>
      </c>
      <c r="BS37" s="30">
        <f>IF(BS39="",0,BY39)+IF(BS40="",0,BY40)+IF(BS41="",0,BY41)+IF(BS42="",0,BY42)+IF(BS43="",0,BY43)</f>
        <v>320</v>
      </c>
      <c r="BT37" s="154">
        <f>IF(BT39="",0,BY39)+IF(BT40="",0,BY40)+IF(BT41="",0,BY41)+IF(BT42="",0,BY42)+IF(BT43="",0,BY43)</f>
        <v>280</v>
      </c>
      <c r="BU37" s="154">
        <f>IF(BU39="",0,BY39)+IF(BU40="",0,BY40)+IF(BU41="",0,BY41)+IF(BU42="",0,BY42)+IF(BU43="",0,BY43)</f>
        <v>0</v>
      </c>
      <c r="BV37" s="154">
        <f>IF(BV39="",0,BY39)+IF(BV40="",0,BY40)+IF(BV41="",0,BY41)+IF(BV42="",0,BY42)+IF(BV43="",0,BY43)</f>
        <v>0</v>
      </c>
      <c r="BW37" s="178">
        <f>IF(BW39="",0,BY39)+IF(BW40="",0,BY40)+IF(BW41="",0,BY41)+IF(BW42="",0,BY42)+IF(BW43="",0,BY43)</f>
        <v>0</v>
      </c>
      <c r="BX37" s="454" t="s">
        <v>20</v>
      </c>
      <c r="BY37" s="456" t="s">
        <v>31</v>
      </c>
      <c r="CA37" s="478" t="s">
        <v>64</v>
      </c>
      <c r="CB37" s="153" t="s">
        <v>24</v>
      </c>
      <c r="CC37" s="154">
        <f>IF(ISBLANK(CC39),0,CI39)+IF(ISBLANK(CC40),0,CI40)+IF(ISBLANK(CC41),0,CI41)+IF(ISBLANK(CC42),0,CI42)+IF(ISBLANK(CC43),0,CI43)</f>
        <v>200</v>
      </c>
      <c r="CD37" s="30">
        <f>IF(ISBLANK(CD39),0,CI39)+IF(ISBLANK(CD40),0,CI40)+IF(ISBLANK(CD41),0,CI41)+IF(ISBLANK(CD42),0,CI42)+IF(ISBLANK(CD43),0,CI43)</f>
        <v>320</v>
      </c>
      <c r="CE37" s="154">
        <f>IF(ISBLANK(CE39),0,CI39)+IF(ISBLANK(CE40),0,CI40)+IF(ISBLANK(CE41),0,CI41)+IF(ISBLANK(CE42),0,CI42)+IF(ISBLANK(CE43),0,CI43)</f>
        <v>280</v>
      </c>
      <c r="CF37" s="154">
        <f>IF(ISBLANK(CF39),0,CI39)+IF(ISBLANK(CF40),0,CI40)+IF(ISBLANK(CF41),0,CI41)+IF(ISBLANK(CF42),0,CI42)+IF(ISBLANK(CF43),0,CI43)</f>
        <v>0</v>
      </c>
      <c r="CG37" s="154">
        <f>IF(ISBLANK(CG39),0,CI39)+IF(ISBLANK(CG40),0,CI40)+IF(ISBLANK(CG41),0,CI41)+IF(ISBLANK(CG42),0,CI42)+IF(ISBLANK(CG43),0,CI43)</f>
        <v>0</v>
      </c>
      <c r="CH37" s="73">
        <f>IF(ISBLANK(CH39),0,CI39)+IF(ISBLANK(CH40),0,CI40)+IF(ISBLANK(CH41),0,CI41)+IF(ISBLANK(CH42),0,CI42)+IF(ISBLANK(CH43),0,CI43)</f>
        <v>0</v>
      </c>
      <c r="CI37" s="456" t="s">
        <v>71</v>
      </c>
      <c r="CJ37" s="125"/>
      <c r="CL37" s="478" t="s">
        <v>64</v>
      </c>
      <c r="CM37" s="159" t="s">
        <v>24</v>
      </c>
      <c r="CN37" s="177">
        <f>IF(CN39="",0,CU39)+IF(CN40="",0,CU40)+IF(CN41="",0,CU41)+IF(CN42="",0,CU42)+IF(CN43="",0,CU43)</f>
        <v>0</v>
      </c>
      <c r="CO37" s="30">
        <f>IF(CO39="",0,CU39)+IF(CO40="",0,CU40)+IF(CO41="",0,CU41)+IF(CO42="",0,CU42)+IF(CO43="",0,CU43)</f>
        <v>320</v>
      </c>
      <c r="CP37" s="154">
        <f>IF(CP39="",0,CU39)+IF(CP40="",0,CU40)+IF(CP41="",0,CU41)+IF(CP42="",0,CU42)+IF(CP43="",0,CU43)</f>
        <v>280</v>
      </c>
      <c r="CQ37" s="154">
        <f>IF(CQ39="",0,CU39)+IF(CQ40="",0,CU40)+IF(CQ41="",0,CU41)+IF(CQ42="",0,CU42)+IF(CQ43="",0,CU43)</f>
        <v>0</v>
      </c>
      <c r="CR37" s="154">
        <f>IF(CR39="",0,CU39)+IF(CR40="",0,CU40)+IF(CR41="",0,CU41)+IF(CR42="",0,CU42)+IF(CR43="",0,CU43)</f>
        <v>0</v>
      </c>
      <c r="CS37" s="178">
        <f>IF(CS39="",0,CU39)+IF(CS40="",0,CU40)+IF(CS41="",0,CU41)+IF(CS42="",0,CU42)+IF(CS43="",0,CU43)</f>
        <v>0</v>
      </c>
      <c r="CT37" s="454" t="s">
        <v>20</v>
      </c>
      <c r="CU37" s="456" t="s">
        <v>31</v>
      </c>
      <c r="CW37" s="478" t="s">
        <v>64</v>
      </c>
      <c r="CX37" s="153" t="s">
        <v>24</v>
      </c>
      <c r="CY37" s="154">
        <f>IF(ISBLANK(CY39),0,DE39)+IF(ISBLANK(CY40),0,DE40)+IF(ISBLANK(CY41),0,DE41)+IF(ISBLANK(CY42),0,DE42)+IF(ISBLANK(CY43),0,DE43)</f>
        <v>0</v>
      </c>
      <c r="CZ37" s="30">
        <f>IF(ISBLANK(CZ39),0,DE39)+IF(ISBLANK(CZ40),0,DE40)+IF(ISBLANK(CZ41),0,DE41)+IF(ISBLANK(CZ42),0,DE42)+IF(ISBLANK(CZ43),0,DE43)</f>
        <v>320</v>
      </c>
      <c r="DA37" s="154">
        <f>IF(ISBLANK(DA39),0,DE39)+IF(ISBLANK(DA40),0,DE40)+IF(ISBLANK(DA41),0,DE41)+IF(ISBLANK(DA42),0,DE42)+IF(ISBLANK(DA43),0,DE43)</f>
        <v>280</v>
      </c>
      <c r="DB37" s="154">
        <f>IF(ISBLANK(DB39),0,DE39)+IF(ISBLANK(DB40),0,DE40)+IF(ISBLANK(DB41),0,DE41)+IF(ISBLANK(DB42),0,DE42)+IF(ISBLANK(DB43),0,DE43)</f>
        <v>0</v>
      </c>
      <c r="DC37" s="154">
        <f>IF(ISBLANK(DC39),0,DE39)+IF(ISBLANK(DC40),0,DE40)+IF(ISBLANK(DC41),0,DE41)+IF(ISBLANK(DC42),0,DE42)+IF(ISBLANK(DC43),0,DE43)</f>
        <v>0</v>
      </c>
      <c r="DD37" s="73">
        <f>IF(ISBLANK(DD39),0,DE39)+IF(ISBLANK(DD40),0,DE40)+IF(ISBLANK(DD41),0,DE41)+IF(ISBLANK(DD42),0,DE42)+IF(ISBLANK(DD43),0,DE43)</f>
        <v>0</v>
      </c>
      <c r="DE37" s="456" t="s">
        <v>71</v>
      </c>
      <c r="DF37" s="125"/>
      <c r="DH37" s="478" t="s">
        <v>64</v>
      </c>
      <c r="DI37" s="159" t="s">
        <v>24</v>
      </c>
      <c r="DJ37" s="177">
        <f>IF(DJ39="",0,DQ39)+IF(DJ40="",0,DQ40)+IF(DJ41="",0,DQ41)+IF(DJ42="",0,DQ42)+IF(DJ43="",0,DQ43)</f>
        <v>0</v>
      </c>
      <c r="DK37" s="30">
        <f>IF(DK39="",0,DQ39)+IF(DK40="",0,DQ40)+IF(DK41="",0,DQ41)+IF(DK42="",0,DQ42)+IF(DK43="",0,DQ43)</f>
        <v>0</v>
      </c>
      <c r="DL37" s="154">
        <f>IF(DL39="",0,DQ39)+IF(DL40="",0,DQ40)+IF(DL41="",0,DQ41)+IF(DL42="",0,DQ42)+IF(DL43="",0,DQ43)</f>
        <v>280</v>
      </c>
      <c r="DM37" s="154">
        <f>IF(DM39="",0,DQ39)+IF(DM40="",0,DQ40)+IF(DM41="",0,DQ41)+IF(DM42="",0,DQ42)+IF(DM43="",0,DQ43)</f>
        <v>0</v>
      </c>
      <c r="DN37" s="154">
        <f>IF(DN39="",0,DQ39)+IF(DN40="",0,DQ40)+IF(DN41="",0,DQ41)+IF(DN42="",0,DQ42)+IF(DN43="",0,DQ43)</f>
        <v>0</v>
      </c>
      <c r="DO37" s="178">
        <f>IF(DO39="",0,DQ39)+IF(DO40="",0,DQ40)+IF(DO41="",0,DQ41)+IF(DO42="",0,DQ42)+IF(DO43="",0,DQ43)</f>
        <v>0</v>
      </c>
      <c r="DP37" s="511" t="s">
        <v>20</v>
      </c>
      <c r="DQ37" s="456" t="s">
        <v>31</v>
      </c>
      <c r="DS37" s="478" t="s">
        <v>64</v>
      </c>
      <c r="DT37" s="153" t="s">
        <v>24</v>
      </c>
      <c r="DU37" s="154">
        <f>IF(ISBLANK(DU39),0,EA39)+IF(ISBLANK(DU40),0,EA40)+IF(ISBLANK(DU41),0,EA41)+IF(ISBLANK(DU42),0,EA42)+IF(ISBLANK(DU43),0,EA43)</f>
        <v>0</v>
      </c>
      <c r="DV37" s="30">
        <f>IF(ISBLANK(DV39),0,EA39)+IF(ISBLANK(DV40),0,EA40)+IF(ISBLANK(DV41),0,EA41)+IF(ISBLANK(DV42),0,EA42)+IF(ISBLANK(DV43),0,EA43)</f>
        <v>0</v>
      </c>
      <c r="DW37" s="154">
        <f>IF(ISBLANK(DW39),0,EA39)+IF(ISBLANK(DW40),0,EA40)+IF(ISBLANK(DW41),0,EA41)+IF(ISBLANK(DW42),0,EA42)+IF(ISBLANK(DW43),0,EA43)</f>
        <v>280</v>
      </c>
      <c r="DX37" s="154">
        <f>IF(ISBLANK(DX39),0,EA39)+IF(ISBLANK(DX40),0,EA40)+IF(ISBLANK(DX41),0,EA41)+IF(ISBLANK(DX42),0,EA42)+IF(ISBLANK(DX43),0,EA43)</f>
        <v>0</v>
      </c>
      <c r="DY37" s="154">
        <f>IF(ISBLANK(DY39),0,EA39)+IF(ISBLANK(DY40),0,EA40)+IF(ISBLANK(DY41),0,EA41)+IF(ISBLANK(DY42),0,EA42)+IF(ISBLANK(DY43),0,EA43)</f>
        <v>0</v>
      </c>
      <c r="DZ37" s="73">
        <f>IF(ISBLANK(DZ39),0,EA39)+IF(ISBLANK(DZ40),0,EA40)+IF(ISBLANK(DZ41),0,EA41)+IF(ISBLANK(DZ42),0,EA42)+IF(ISBLANK(DZ43),0,EA43)</f>
        <v>0</v>
      </c>
      <c r="EA37" s="456" t="s">
        <v>71</v>
      </c>
      <c r="EB37" s="125"/>
      <c r="ED37" s="478" t="s">
        <v>64</v>
      </c>
      <c r="EE37" s="159" t="s">
        <v>24</v>
      </c>
      <c r="EF37" s="177">
        <f>IF(EF39="",0,EM39)+IF(EF40="",0,EM40)+IF(EF41="",0,EM41)+IF(EF42="",0,EM42)+IF(EF43="",0,EM43)</f>
        <v>0</v>
      </c>
      <c r="EG37" s="30">
        <f>IF(EG39="",0,EM39)+IF(EG40="",0,EM40)+IF(EG41="",0,EM41)+IF(EG42="",0,EM42)+IF(EG43="",0,EM43)</f>
        <v>0</v>
      </c>
      <c r="EH37" s="154">
        <f>IF(EH39="",0,EM39)+IF(EH40="",0,EM40)+IF(EH41="",0,EM41)+IF(EH42="",0,EM42)+IF(EH43="",0,EM43)</f>
        <v>280</v>
      </c>
      <c r="EI37" s="154">
        <f>IF(EI39="",0,EM39)+IF(EI40="",0,EM40)+IF(EI41="",0,EM41)+IF(EI42="",0,EM42)+IF(EI43="",0,EM43)</f>
        <v>0</v>
      </c>
      <c r="EJ37" s="154">
        <f>IF(EJ39="",0,EM39)+IF(EJ40="",0,EM40)+IF(EJ41="",0,EM41)+IF(EJ42="",0,EM42)+IF(EJ43="",0,EM43)</f>
        <v>0</v>
      </c>
      <c r="EK37" s="178">
        <f>IF(EK39="",0,EM39)+IF(EK40="",0,EM40)+IF(EK41="",0,EM41)+IF(EK42="",0,EM42)+IF(EK43="",0,EM43)</f>
        <v>0</v>
      </c>
      <c r="EL37" s="511" t="s">
        <v>20</v>
      </c>
      <c r="EM37" s="456" t="s">
        <v>31</v>
      </c>
      <c r="EO37" s="478" t="s">
        <v>64</v>
      </c>
      <c r="EP37" s="153" t="s">
        <v>24</v>
      </c>
      <c r="EQ37" s="154">
        <f>IF(ISBLANK(EQ39),0,EW39)+IF(ISBLANK(EQ40),0,EW40)+IF(ISBLANK(EQ41),0,EW41)+IF(ISBLANK(EQ42),0,EW42)+IF(ISBLANK(EQ43),0,EW43)</f>
        <v>0</v>
      </c>
      <c r="ER37" s="30">
        <f>IF(ISBLANK(ER39),0,EW39)+IF(ISBLANK(ER40),0,EW40)+IF(ISBLANK(ER41),0,EW41)+IF(ISBLANK(ER42),0,EW42)+IF(ISBLANK(ER43),0,EW43)</f>
        <v>0</v>
      </c>
      <c r="ES37" s="154">
        <f>IF(ISBLANK(ES39),0,EW39)+IF(ISBLANK(ES40),0,EW40)+IF(ISBLANK(ES41),0,EW41)+IF(ISBLANK(ES42),0,EW42)+IF(ISBLANK(ES43),0,EW43)</f>
        <v>280</v>
      </c>
      <c r="ET37" s="154">
        <f>IF(ISBLANK(ET39),0,EW39)+IF(ISBLANK(ET40),0,EW40)+IF(ISBLANK(ET41),0,EW41)+IF(ISBLANK(ET42),0,EW42)+IF(ISBLANK(ET43),0,EW43)</f>
        <v>0</v>
      </c>
      <c r="EU37" s="154">
        <f>IF(ISBLANK(EU39),0,EW39)+IF(ISBLANK(EU40),0,EW40)+IF(ISBLANK(EU41),0,EW41)+IF(ISBLANK(EU42),0,EW42)+IF(ISBLANK(EU43),0,EW43)</f>
        <v>0</v>
      </c>
      <c r="EV37" s="73">
        <f>IF(ISBLANK(EV39),0,EW39)+IF(ISBLANK(EV40),0,EW40)+IF(ISBLANK(EV41),0,EW41)+IF(ISBLANK(EV42),0,EW42)+IF(ISBLANK(EV43),0,EW43)</f>
        <v>0</v>
      </c>
      <c r="EW37" s="456" t="s">
        <v>71</v>
      </c>
      <c r="EX37" s="125"/>
      <c r="EZ37" s="478" t="s">
        <v>64</v>
      </c>
      <c r="FA37" s="159" t="s">
        <v>24</v>
      </c>
      <c r="FB37" s="177">
        <f>IF(FB39="",0,FI39)+IF(FB40="",0,FI40)+IF(FB41="",0,FI41)+IF(FB42="",0,FI42)+IF(FB43="",0,FI43)</f>
        <v>0</v>
      </c>
      <c r="FC37" s="30">
        <f>IF(FC39="",0,FI39)+IF(FC40="",0,FI40)+IF(FC41="",0,FI41)+IF(FC42="",0,FI42)+IF(FC43="",0,FI43)</f>
        <v>0</v>
      </c>
      <c r="FD37" s="154">
        <f>IF(FD39="",0,FI39)+IF(FD40="",0,FI40)+IF(FD41="",0,FI41)+IF(FD42="",0,FI42)+IF(FD43="",0,FI43)</f>
        <v>0</v>
      </c>
      <c r="FE37" s="154">
        <f>IF(FE39="",0,FI39)+IF(FE40="",0,FI40)+IF(FE41="",0,FI41)+IF(FE42="",0,FI42)+IF(FE43="",0,FI43)</f>
        <v>0</v>
      </c>
      <c r="FF37" s="154">
        <f>IF(FF39="",0,FI39)+IF(FF40="",0,FI40)+IF(FF41="",0,FI41)+IF(FF42="",0,FI42)+IF(FF43="",0,FI43)</f>
        <v>0</v>
      </c>
      <c r="FG37" s="178">
        <f>IF(FG39="",0,FI39)+IF(FG40="",0,FI40)+IF(FG41="",0,FI41)+IF(FG42="",0,FI42)+IF(FG43="",0,FI43)</f>
        <v>0</v>
      </c>
      <c r="FH37" s="511" t="s">
        <v>20</v>
      </c>
      <c r="FI37" s="456" t="s">
        <v>31</v>
      </c>
      <c r="FK37" s="547" t="s">
        <v>64</v>
      </c>
      <c r="FL37" s="82" t="s">
        <v>35</v>
      </c>
      <c r="FM37" s="83"/>
      <c r="FN37" s="84"/>
      <c r="FO37" s="84"/>
      <c r="FP37" s="84"/>
      <c r="FQ37" s="84"/>
      <c r="FR37" s="85"/>
    </row>
    <row r="38" spans="2:174" ht="14.25" thickBot="1">
      <c r="B38" s="479"/>
      <c r="C38" s="74"/>
      <c r="D38" s="74"/>
      <c r="E38" s="75"/>
      <c r="F38" s="75"/>
      <c r="G38" s="75"/>
      <c r="H38" s="75"/>
      <c r="I38" s="194"/>
      <c r="J38" s="457"/>
      <c r="K38" s="157"/>
      <c r="M38" s="479"/>
      <c r="N38" s="159" t="s">
        <v>81</v>
      </c>
      <c r="O38" s="168">
        <f>IF(O39&lt;&gt;"○",0,U39)+IF(O40&lt;&gt;"○",0,U40)+IF(O41&lt;&gt;"○",0,U41)+IF(O42&lt;&gt;"○",0,U42)+IF(O43&lt;&gt;"○",0,U43)</f>
        <v>40</v>
      </c>
      <c r="P38" s="31">
        <f>IF(P39&lt;&gt;"○",0,U39)+IF(P40&lt;&gt;"○",0,U40)+IF(P41&lt;&gt;"○",0,U41)+IF(P42&lt;&gt;"○",0,U42)+IF(P43&lt;&gt;"○",0,U43)</f>
        <v>70</v>
      </c>
      <c r="Q38" s="31">
        <f>IF(Q39&lt;&gt;"○",0,U39)+IF(Q40&lt;&gt;"○",0,U40)+IF(Q41&lt;&gt;"○",0,U41)+IF(Q42&lt;&gt;"○",0,U42)+IF(Q43&lt;&gt;"○",0,U43)</f>
        <v>180</v>
      </c>
      <c r="R38" s="31">
        <f>IF(R39&lt;&gt;"○",0,U39)+IF(R40&lt;&gt;"○",0,U40)+IF(R41&lt;&gt;"○",0,U41)+IF(R42&lt;&gt;"○",0,U42)+IF(R43&lt;&gt;"○",0,U43)</f>
        <v>0</v>
      </c>
      <c r="S38" s="31">
        <f>IF(S39&lt;&gt;"○",0,U39)+IF(S40&lt;&gt;"○",0,U40)+IF(S41&lt;&gt;"○",0,U41)+IF(S42&lt;&gt;"○",0,U42)+IF(S43&lt;&gt;"○",0,U43)</f>
        <v>0</v>
      </c>
      <c r="T38" s="169">
        <f>IF(T39&lt;&gt;"○",0,U39)+IF(T40&lt;&gt;"○",0,U40)+IF(T41&lt;&gt;"○",0,U41)+IF(T42&lt;&gt;"○",0,U42)+IF(T43&lt;&gt;"○",0,U43)</f>
        <v>0</v>
      </c>
      <c r="U38" s="455"/>
      <c r="V38" s="457"/>
      <c r="X38" s="479"/>
      <c r="Y38" s="159" t="s">
        <v>81</v>
      </c>
      <c r="Z38" s="168">
        <f>IF(Z39&lt;&gt;"○",0,AF39)+IF(Z40&lt;&gt;"○",0,AF40)+IF(Z41&lt;&gt;"○",0,AF41)+IF(Z42&lt;&gt;"○",0,AF42)+IF(Z43&lt;&gt;"○",0,AF43)</f>
        <v>40</v>
      </c>
      <c r="AA38" s="31">
        <f>IF(AA39&lt;&gt;"○",0,AF39)+IF(AA40&lt;&gt;"○",0,AF40)+IF(AA41&lt;&gt;"○",0,AF41)+IF(AA42&lt;&gt;"○",0,AF42)+IF(AA43&lt;&gt;"○",0,AF43)</f>
        <v>70</v>
      </c>
      <c r="AB38" s="31">
        <f>IF(AB39&lt;&gt;"○",0,AF39)+IF(AB40&lt;&gt;"○",0,AF40)+IF(AB41&lt;&gt;"○",0,AF41)+IF(AB42&lt;&gt;"○",0,AF42)+IF(AB43&lt;&gt;"○",0,AF43)</f>
        <v>90</v>
      </c>
      <c r="AC38" s="31">
        <f>IF(AC39&lt;&gt;"○",0,AF39)+IF(AC40&lt;&gt;"○",0,AF40)+IF(AC41&lt;&gt;"○",0,AF41)+IF(AC42&lt;&gt;"○",0,AF42)+IF(AC43&lt;&gt;"○",0,AF43)</f>
        <v>0</v>
      </c>
      <c r="AD38" s="31">
        <f>IF(AD39&lt;&gt;"○",0,AF39)+IF(AD40&lt;&gt;"○",0,AF40)+IF(AD41&lt;&gt;"○",0,AF41)+IF(AD42&lt;&gt;"○",0,AF42)+IF(AD43&lt;&gt;"○",0,AF43)</f>
        <v>0</v>
      </c>
      <c r="AE38" s="169">
        <f>IF(AE39&lt;&gt;"○",0,AF39)+IF(AE40&lt;&gt;"○",0,AF40)+IF(AE41&lt;&gt;"○",0,AF41)+IF(AE42&lt;&gt;"○",0,AF42)+IF(AE43&lt;&gt;"○",0,AF43)</f>
        <v>0</v>
      </c>
      <c r="AF38" s="455"/>
      <c r="AG38" s="457"/>
      <c r="AI38" s="479"/>
      <c r="AJ38" s="159" t="s">
        <v>81</v>
      </c>
      <c r="AK38" s="168">
        <f>IF(AK39&lt;&gt;"○",0,AQ39)+IF(AK40&lt;&gt;"○",0,AQ40)+IF(AK41&lt;&gt;"○",0,AQ41)+IF(AK42&lt;&gt;"○",0,AQ42)+IF(AK43&lt;&gt;"○",0,AQ43)</f>
        <v>40</v>
      </c>
      <c r="AL38" s="31">
        <f>IF(AL39&lt;&gt;"○",0,AQ39)+IF(AL40&lt;&gt;"○",0,AQ40)+IF(AL41&lt;&gt;"○",0,AQ41)+IF(AL42&lt;&gt;"○",0,AQ42)+IF(AL43&lt;&gt;"○",0,AQ43)</f>
        <v>70</v>
      </c>
      <c r="AM38" s="31">
        <f>IF(AM39&lt;&gt;"○",0,AQ39)+IF(AM40&lt;&gt;"○",0,AQ40)+IF(AM41&lt;&gt;"○",0,AQ41)+IF(AM42&lt;&gt;"○",0,AQ42)+IF(AM43&lt;&gt;"○",0,AQ43)</f>
        <v>125</v>
      </c>
      <c r="AN38" s="31">
        <f>IF(AN39&lt;&gt;"○",0,AQ39)+IF(AN40&lt;&gt;"○",0,AQ40)+IF(AN41&lt;&gt;"○",0,AQ41)+IF(AN42&lt;&gt;"○",0,AQ42)+IF(AN43&lt;&gt;"○",0,AQ43)</f>
        <v>0</v>
      </c>
      <c r="AO38" s="31">
        <f>IF(AO39&lt;&gt;"○",0,AQ39)+IF(AO40&lt;&gt;"○",0,AQ40)+IF(AO41&lt;&gt;"○",0,AQ41)+IF(AO42&lt;&gt;"○",0,AQ42)+IF(AO43&lt;&gt;"○",0,AQ43)</f>
        <v>0</v>
      </c>
      <c r="AP38" s="169">
        <f>IF(AP39&lt;&gt;"○",0,AQ39)+IF(AP40&lt;&gt;"○",0,AQ40)+IF(AP41&lt;&gt;"○",0,AQ41)+IF(AP42&lt;&gt;"○",0,AQ42)+IF(AP43&lt;&gt;"○",0,AQ43)</f>
        <v>0</v>
      </c>
      <c r="AQ38" s="455"/>
      <c r="AR38" s="457"/>
      <c r="AT38" s="479"/>
      <c r="AU38" s="74"/>
      <c r="AV38" s="74"/>
      <c r="AW38" s="75"/>
      <c r="AX38" s="75"/>
      <c r="AY38" s="75"/>
      <c r="AZ38" s="75"/>
      <c r="BA38" s="194"/>
      <c r="BB38" s="457"/>
      <c r="BC38" s="157"/>
      <c r="BE38" s="479"/>
      <c r="BF38" s="159" t="s">
        <v>81</v>
      </c>
      <c r="BG38" s="168">
        <f>IF(BG39&lt;&gt;"○",0,BM39)+IF(BG40&lt;&gt;"○",0,BM40)+IF(BG41&lt;&gt;"○",0,BM41)+IF(BG42&lt;&gt;"○",0,BM42)+IF(BG43&lt;&gt;"○",0,BM43)</f>
        <v>40</v>
      </c>
      <c r="BH38" s="31">
        <f>IF(BH39&lt;&gt;"○",0,BM39)+IF(BH40&lt;&gt;"○",0,BM40)+IF(BH41&lt;&gt;"○",0,BM41)+IF(BH42&lt;&gt;"○",0,BM42)+IF(BH43&lt;&gt;"○",0,BM43)</f>
        <v>70</v>
      </c>
      <c r="BI38" s="31">
        <f>IF(BI39&lt;&gt;"○",0,BM39)+IF(BI40&lt;&gt;"○",0,BM40)+IF(BI41&lt;&gt;"○",0,BM41)+IF(BI42&lt;&gt;"○",0,BM42)+IF(BI43&lt;&gt;"○",0,BM43)</f>
        <v>60</v>
      </c>
      <c r="BJ38" s="31">
        <f>IF(BJ39&lt;&gt;"○",0,BM39)+IF(BJ40&lt;&gt;"○",0,BM40)+IF(BJ41&lt;&gt;"○",0,BM41)+IF(BJ42&lt;&gt;"○",0,BM42)+IF(BJ43&lt;&gt;"○",0,BM43)</f>
        <v>0</v>
      </c>
      <c r="BK38" s="31">
        <f>IF(BK39&lt;&gt;"○",0,BM39)+IF(BK40&lt;&gt;"○",0,BM40)+IF(BK41&lt;&gt;"○",0,BM41)+IF(BK42&lt;&gt;"○",0,BM42)+IF(BK43&lt;&gt;"○",0,BM43)</f>
        <v>0</v>
      </c>
      <c r="BL38" s="169">
        <f>IF(BL39&lt;&gt;"○",0,BM39)+IF(BL40&lt;&gt;"○",0,BM40)+IF(BL41&lt;&gt;"○",0,BM41)+IF(BL42&lt;&gt;"○",0,BM42)+IF(BL43&lt;&gt;"○",0,BM43)</f>
        <v>0</v>
      </c>
      <c r="BM38" s="455"/>
      <c r="BN38" s="457"/>
      <c r="BP38" s="479"/>
      <c r="BQ38" s="159" t="s">
        <v>81</v>
      </c>
      <c r="BR38" s="168">
        <f>IF(BR39&lt;&gt;"○",0,BX39)+IF(BR40&lt;&gt;"○",0,BX40)+IF(BR41&lt;&gt;"○",0,BX41)+IF(BR42&lt;&gt;"○",0,BX42)+IF(BR43&lt;&gt;"○",0,BX43)</f>
        <v>40</v>
      </c>
      <c r="BS38" s="31">
        <f>IF(BS39&lt;&gt;"○",0,BX39)+IF(BS40&lt;&gt;"○",0,BX40)+IF(BS41&lt;&gt;"○",0,BX41)+IF(BS42&lt;&gt;"○",0,BX42)+IF(BS43&lt;&gt;"○",0,BX43)</f>
        <v>70</v>
      </c>
      <c r="BT38" s="31">
        <f>IF(BT39&lt;&gt;"○",0,BX39)+IF(BT40&lt;&gt;"○",0,BX40)+IF(BT41&lt;&gt;"○",0,BX41)+IF(BT42&lt;&gt;"○",0,BX42)+IF(BT43&lt;&gt;"○",0,BX43)</f>
        <v>60</v>
      </c>
      <c r="BU38" s="31">
        <f>IF(BU39&lt;&gt;"○",0,BX39)+IF(BU40&lt;&gt;"○",0,BX40)+IF(BU41&lt;&gt;"○",0,BX41)+IF(BU42&lt;&gt;"○",0,BX42)+IF(BU43&lt;&gt;"○",0,BX43)</f>
        <v>0</v>
      </c>
      <c r="BV38" s="31">
        <f>IF(BV39&lt;&gt;"○",0,BX39)+IF(BV40&lt;&gt;"○",0,BX40)+IF(BV41&lt;&gt;"○",0,BX41)+IF(BV42&lt;&gt;"○",0,BX42)+IF(BV43&lt;&gt;"○",0,BX43)</f>
        <v>0</v>
      </c>
      <c r="BW38" s="169">
        <f>IF(BW39&lt;&gt;"○",0,BX39)+IF(BW40&lt;&gt;"○",0,BX40)+IF(BW41&lt;&gt;"○",0,BX41)+IF(BW42&lt;&gt;"○",0,BX42)+IF(BW43&lt;&gt;"○",0,BX43)</f>
        <v>0</v>
      </c>
      <c r="BX38" s="455"/>
      <c r="BY38" s="457"/>
      <c r="CA38" s="479"/>
      <c r="CB38" s="74"/>
      <c r="CC38" s="74"/>
      <c r="CD38" s="75"/>
      <c r="CE38" s="75"/>
      <c r="CF38" s="75"/>
      <c r="CG38" s="75"/>
      <c r="CH38" s="194"/>
      <c r="CI38" s="457"/>
      <c r="CJ38" s="157"/>
      <c r="CL38" s="479"/>
      <c r="CM38" s="159" t="s">
        <v>81</v>
      </c>
      <c r="CN38" s="168">
        <f>IF(CN39&lt;&gt;"○",0,CT39)+IF(CN40&lt;&gt;"○",0,CT40)+IF(CN41&lt;&gt;"○",0,CT41)+IF(CN42&lt;&gt;"○",0,CT42)+IF(CN43&lt;&gt;"○",0,CT43)</f>
        <v>0</v>
      </c>
      <c r="CO38" s="31">
        <f>IF(CO39&lt;&gt;"○",0,CT39)+IF(CO40&lt;&gt;"○",0,CT40)+IF(CO41&lt;&gt;"○",0,CT41)+IF(CO42&lt;&gt;"○",0,CT42)+IF(CO43&lt;&gt;"○",0,CT43)</f>
        <v>70</v>
      </c>
      <c r="CP38" s="31">
        <f>IF(CP39&lt;&gt;"○",0,CT39)+IF(CP40&lt;&gt;"○",0,CT40)+IF(CP41&lt;&gt;"○",0,CT41)+IF(CP42&lt;&gt;"○",0,CT42)+IF(CP43&lt;&gt;"○",0,CT43)</f>
        <v>60</v>
      </c>
      <c r="CQ38" s="31">
        <f>IF(CQ39&lt;&gt;"○",0,CT39)+IF(CQ40&lt;&gt;"○",0,CT40)+IF(CQ41&lt;&gt;"○",0,CT41)+IF(CQ42&lt;&gt;"○",0,CT42)+IF(CQ43&lt;&gt;"○",0,CT43)</f>
        <v>0</v>
      </c>
      <c r="CR38" s="31">
        <f>IF(CR39&lt;&gt;"○",0,CT39)+IF(CR40&lt;&gt;"○",0,CT40)+IF(CR41&lt;&gt;"○",0,CT41)+IF(CR42&lt;&gt;"○",0,CT42)+IF(CR43&lt;&gt;"○",0,CT43)</f>
        <v>0</v>
      </c>
      <c r="CS38" s="169">
        <f>IF(CS39&lt;&gt;"○",0,CT39)+IF(CS40&lt;&gt;"○",0,CT40)+IF(CS41&lt;&gt;"○",0,CT41)+IF(CS42&lt;&gt;"○",0,CT42)+IF(CS43&lt;&gt;"○",0,CT43)</f>
        <v>0</v>
      </c>
      <c r="CT38" s="455"/>
      <c r="CU38" s="457"/>
      <c r="CW38" s="479"/>
      <c r="CX38" s="74"/>
      <c r="CY38" s="74"/>
      <c r="CZ38" s="75"/>
      <c r="DA38" s="75"/>
      <c r="DB38" s="75"/>
      <c r="DC38" s="75"/>
      <c r="DD38" s="194"/>
      <c r="DE38" s="457"/>
      <c r="DF38" s="157"/>
      <c r="DH38" s="479"/>
      <c r="DI38" s="159" t="s">
        <v>81</v>
      </c>
      <c r="DJ38" s="168">
        <f>IF(DJ39&lt;&gt;"○",0,DP39)+IF(DJ40&lt;&gt;"○",0,DP40)+IF(DJ41&lt;&gt;"○",0,DP41)+IF(DJ42&lt;&gt;"○",0,DP42)+IF(DJ43&lt;&gt;"○",0,DP43)</f>
        <v>0</v>
      </c>
      <c r="DK38" s="31">
        <f>IF(DK39&lt;&gt;"○",0,DP39)+IF(DK40&lt;&gt;"○",0,DP40)+IF(DK41&lt;&gt;"○",0,DP41)+IF(DK42&lt;&gt;"○",0,DP42)+IF(DK43&lt;&gt;"○",0,DP43)</f>
        <v>0</v>
      </c>
      <c r="DL38" s="31">
        <f>IF(DL39&lt;&gt;"○",0,DP39)+IF(DL40&lt;&gt;"○",0,DP40)+IF(DL41&lt;&gt;"○",0,DP41)+IF(DL42&lt;&gt;"○",0,DP42)+IF(DL43&lt;&gt;"○",0,DP43)</f>
        <v>60</v>
      </c>
      <c r="DM38" s="31">
        <f>IF(DM39&lt;&gt;"○",0,DP39)+IF(DM40&lt;&gt;"○",0,DP40)+IF(DM41&lt;&gt;"○",0,DP41)+IF(DM42&lt;&gt;"○",0,DP42)+IF(DM43&lt;&gt;"○",0,DP43)</f>
        <v>0</v>
      </c>
      <c r="DN38" s="31">
        <f>IF(DN39&lt;&gt;"○",0,DP39)+IF(DN40&lt;&gt;"○",0,DP40)+IF(DN41&lt;&gt;"○",0,DP41)+IF(DN42&lt;&gt;"○",0,DP42)+IF(DN43&lt;&gt;"○",0,DP43)</f>
        <v>0</v>
      </c>
      <c r="DO38" s="169">
        <f>IF(DO39&lt;&gt;"○",0,DP39)+IF(DO40&lt;&gt;"○",0,DP40)+IF(DO41&lt;&gt;"○",0,DP41)+IF(DO42&lt;&gt;"○",0,DP42)+IF(DO43&lt;&gt;"○",0,DP43)</f>
        <v>0</v>
      </c>
      <c r="DP38" s="521"/>
      <c r="DQ38" s="492"/>
      <c r="DS38" s="479"/>
      <c r="DT38" s="74"/>
      <c r="DU38" s="74"/>
      <c r="DV38" s="75"/>
      <c r="DW38" s="75"/>
      <c r="DX38" s="75"/>
      <c r="DY38" s="75"/>
      <c r="DZ38" s="194"/>
      <c r="EA38" s="492"/>
      <c r="EB38" s="157"/>
      <c r="ED38" s="479"/>
      <c r="EE38" s="159" t="s">
        <v>81</v>
      </c>
      <c r="EF38" s="168">
        <f>IF(EF39&lt;&gt;"○",0,EL39)+IF(EF40&lt;&gt;"○",0,EL40)+IF(EF41&lt;&gt;"○",0,EL41)+IF(EF42&lt;&gt;"○",0,EL42)+IF(EF43&lt;&gt;"○",0,EL43)</f>
        <v>0</v>
      </c>
      <c r="EG38" s="31">
        <f>IF(EG39&lt;&gt;"○",0,EL39)+IF(EG40&lt;&gt;"○",0,EL40)+IF(EG41&lt;&gt;"○",0,EL41)+IF(EG42&lt;&gt;"○",0,EL42)+IF(EG43&lt;&gt;"○",0,EL43)</f>
        <v>0</v>
      </c>
      <c r="EH38" s="31">
        <f>IF(EH39&lt;&gt;"○",0,EL39)+IF(EH40&lt;&gt;"○",0,EL40)+IF(EH41&lt;&gt;"○",0,EL41)+IF(EH42&lt;&gt;"○",0,EL42)+IF(EH43&lt;&gt;"○",0,EL43)</f>
        <v>60</v>
      </c>
      <c r="EI38" s="31">
        <f>IF(EI39&lt;&gt;"○",0,EL39)+IF(EI40&lt;&gt;"○",0,EL40)+IF(EI41&lt;&gt;"○",0,EL41)+IF(EI42&lt;&gt;"○",0,EL42)+IF(EI43&lt;&gt;"○",0,EL43)</f>
        <v>0</v>
      </c>
      <c r="EJ38" s="31">
        <f>IF(EJ39&lt;&gt;"○",0,EL39)+IF(EJ40&lt;&gt;"○",0,EL40)+IF(EJ41&lt;&gt;"○",0,EL41)+IF(EJ42&lt;&gt;"○",0,EL42)+IF(EJ43&lt;&gt;"○",0,EL43)</f>
        <v>0</v>
      </c>
      <c r="EK38" s="169">
        <f>IF(EK39&lt;&gt;"○",0,EL39)+IF(EK40&lt;&gt;"○",0,EL40)+IF(EK41&lt;&gt;"○",0,EL41)+IF(EK42&lt;&gt;"○",0,EL42)+IF(EK43&lt;&gt;"○",0,EL43)</f>
        <v>0</v>
      </c>
      <c r="EL38" s="521"/>
      <c r="EM38" s="492"/>
      <c r="EO38" s="479"/>
      <c r="EP38" s="74"/>
      <c r="EQ38" s="74"/>
      <c r="ER38" s="75"/>
      <c r="ES38" s="75"/>
      <c r="ET38" s="75"/>
      <c r="EU38" s="75"/>
      <c r="EV38" s="194"/>
      <c r="EW38" s="492"/>
      <c r="EX38" s="157"/>
      <c r="EZ38" s="479"/>
      <c r="FA38" s="159" t="s">
        <v>81</v>
      </c>
      <c r="FB38" s="168">
        <f>IF(FB39&lt;&gt;"○",0,FH39)+IF(FB40&lt;&gt;"○",0,FH40)+IF(FB41&lt;&gt;"○",0,FH41)+IF(FB42&lt;&gt;"○",0,FH42)+IF(FB43&lt;&gt;"○",0,FH43)</f>
        <v>0</v>
      </c>
      <c r="FC38" s="31">
        <f>IF(FC39&lt;&gt;"○",0,FH39)+IF(FC40&lt;&gt;"○",0,FH40)+IF(FC41&lt;&gt;"○",0,FH41)+IF(FC42&lt;&gt;"○",0,FH42)+IF(FC43&lt;&gt;"○",0,FH43)</f>
        <v>0</v>
      </c>
      <c r="FD38" s="31">
        <f>IF(FD39&lt;&gt;"○",0,FH39)+IF(FD40&lt;&gt;"○",0,FH40)+IF(FD41&lt;&gt;"○",0,FH41)+IF(FD42&lt;&gt;"○",0,FH42)+IF(FD43&lt;&gt;"○",0,FH43)</f>
        <v>0</v>
      </c>
      <c r="FE38" s="31">
        <f>IF(FE39&lt;&gt;"○",0,FH39)+IF(FE40&lt;&gt;"○",0,FH40)+IF(FE41&lt;&gt;"○",0,FH41)+IF(FE42&lt;&gt;"○",0,FH42)+IF(FE43&lt;&gt;"○",0,FH43)</f>
        <v>0</v>
      </c>
      <c r="FF38" s="31">
        <f>IF(FF39&lt;&gt;"○",0,FH39)+IF(FF40&lt;&gt;"○",0,FH40)+IF(FF41&lt;&gt;"○",0,FH41)+IF(FF42&lt;&gt;"○",0,FH42)+IF(FF43&lt;&gt;"○",0,FH43)</f>
        <v>0</v>
      </c>
      <c r="FG38" s="169">
        <f>IF(FG39&lt;&gt;"○",0,FH39)+IF(FG40&lt;&gt;"○",0,FH40)+IF(FG41&lt;&gt;"○",0,FH41)+IF(FG42&lt;&gt;"○",0,FH42)+IF(FG43&lt;&gt;"○",0,FH43)</f>
        <v>0</v>
      </c>
      <c r="FH38" s="521"/>
      <c r="FI38" s="492"/>
      <c r="FK38" s="548"/>
      <c r="FL38" s="77" t="s">
        <v>30</v>
      </c>
      <c r="FM38" s="74"/>
      <c r="FN38" s="75"/>
      <c r="FO38" s="75"/>
      <c r="FP38" s="75"/>
      <c r="FQ38" s="75"/>
      <c r="FR38" s="76"/>
    </row>
    <row r="39" spans="2:174" ht="13.5">
      <c r="B39" s="479"/>
      <c r="C39" s="223" t="s">
        <v>65</v>
      </c>
      <c r="D39" s="290">
        <f>IF(O39="",IF(D24="×","×",""),"○")</f>
      </c>
      <c r="E39" s="202">
        <f>IF(P39="",IF(E24="×","×",""),"○")</f>
      </c>
      <c r="F39" s="202">
        <f>IF(Q39="",IF(F24="×","×",""),"○")</f>
      </c>
      <c r="G39" s="202">
        <f>IF(R39="",IF(G24="×","×",""),"○")</f>
      </c>
      <c r="H39" s="202">
        <f>IF(S39="",IF(H24="×","×",""),"○")</f>
      </c>
      <c r="I39" s="203">
        <f>IF(T39="",IF(I24="×","×",""),"○")</f>
      </c>
      <c r="J39" s="150">
        <v>0</v>
      </c>
      <c r="K39" s="157"/>
      <c r="M39" s="479"/>
      <c r="N39" s="163" t="s">
        <v>65</v>
      </c>
      <c r="O39" s="290">
        <f aca="true" t="shared" si="188" ref="O39:T39">IF(Z39="",IF(O24="×","×",""),"○")</f>
      </c>
      <c r="P39" s="202">
        <f t="shared" si="188"/>
      </c>
      <c r="Q39" s="202">
        <f t="shared" si="188"/>
      </c>
      <c r="R39" s="202">
        <f t="shared" si="188"/>
      </c>
      <c r="S39" s="202">
        <f t="shared" si="188"/>
      </c>
      <c r="T39" s="203">
        <f t="shared" si="188"/>
      </c>
      <c r="U39" s="28">
        <v>5</v>
      </c>
      <c r="V39" s="27">
        <v>0</v>
      </c>
      <c r="X39" s="479"/>
      <c r="Y39" s="163" t="s">
        <v>65</v>
      </c>
      <c r="Z39" s="290">
        <f aca="true" t="shared" si="189" ref="Z39:AE39">IF(AK39="",IF(Z24="×","×",""),"○")</f>
      </c>
      <c r="AA39" s="202">
        <f t="shared" si="189"/>
      </c>
      <c r="AB39" s="202">
        <f t="shared" si="189"/>
      </c>
      <c r="AC39" s="202">
        <f t="shared" si="189"/>
      </c>
      <c r="AD39" s="202">
        <f t="shared" si="189"/>
      </c>
      <c r="AE39" s="203">
        <f t="shared" si="189"/>
      </c>
      <c r="AF39" s="28">
        <v>5</v>
      </c>
      <c r="AG39" s="27">
        <v>0</v>
      </c>
      <c r="AI39" s="479"/>
      <c r="AJ39" s="163" t="s">
        <v>65</v>
      </c>
      <c r="AK39" s="290">
        <f aca="true" t="shared" si="190" ref="AK39:AP39">IF(AV39="",IF(AK24="×","×",""),"○")</f>
      </c>
      <c r="AL39" s="202">
        <f t="shared" si="190"/>
      </c>
      <c r="AM39" s="202">
        <f t="shared" si="190"/>
      </c>
      <c r="AN39" s="202">
        <f t="shared" si="190"/>
      </c>
      <c r="AO39" s="202">
        <f t="shared" si="190"/>
      </c>
      <c r="AP39" s="203">
        <f t="shared" si="190"/>
      </c>
      <c r="AQ39" s="28">
        <v>5</v>
      </c>
      <c r="AR39" s="27">
        <v>0</v>
      </c>
      <c r="AT39" s="479"/>
      <c r="AU39" s="223" t="s">
        <v>65</v>
      </c>
      <c r="AV39" s="290">
        <f aca="true" t="shared" si="191" ref="AV39:BA39">IF(BG39="",IF(AV24="×","×",""),"○")</f>
      </c>
      <c r="AW39" s="202">
        <f t="shared" si="191"/>
      </c>
      <c r="AX39" s="202">
        <f t="shared" si="191"/>
      </c>
      <c r="AY39" s="202">
        <f t="shared" si="191"/>
      </c>
      <c r="AZ39" s="202">
        <f t="shared" si="191"/>
      </c>
      <c r="BA39" s="203">
        <f t="shared" si="191"/>
      </c>
      <c r="BB39" s="150">
        <v>0</v>
      </c>
      <c r="BC39" s="157"/>
      <c r="BE39" s="479"/>
      <c r="BF39" s="163" t="s">
        <v>65</v>
      </c>
      <c r="BG39" s="290">
        <f aca="true" t="shared" si="192" ref="BG39:BL39">IF(BR39="",IF(BG24="×","×",""),"○")</f>
      </c>
      <c r="BH39" s="202">
        <f t="shared" si="192"/>
      </c>
      <c r="BI39" s="202">
        <f t="shared" si="192"/>
      </c>
      <c r="BJ39" s="202">
        <f t="shared" si="192"/>
      </c>
      <c r="BK39" s="202">
        <f t="shared" si="192"/>
      </c>
      <c r="BL39" s="203">
        <f t="shared" si="192"/>
      </c>
      <c r="BM39" s="28">
        <v>5</v>
      </c>
      <c r="BN39" s="27">
        <v>0</v>
      </c>
      <c r="BP39" s="479"/>
      <c r="BQ39" s="163" t="s">
        <v>65</v>
      </c>
      <c r="BR39" s="290">
        <f aca="true" t="shared" si="193" ref="BR39:BW39">IF(CC39="",IF(BR24="×","×",""),"○")</f>
      </c>
      <c r="BS39" s="202">
        <f t="shared" si="193"/>
      </c>
      <c r="BT39" s="202">
        <f t="shared" si="193"/>
      </c>
      <c r="BU39" s="202">
        <f t="shared" si="193"/>
      </c>
      <c r="BV39" s="202">
        <f t="shared" si="193"/>
      </c>
      <c r="BW39" s="203">
        <f t="shared" si="193"/>
      </c>
      <c r="BX39" s="28">
        <v>5</v>
      </c>
      <c r="BY39" s="27">
        <v>0</v>
      </c>
      <c r="CA39" s="479"/>
      <c r="CB39" s="223" t="s">
        <v>65</v>
      </c>
      <c r="CC39" s="290">
        <f aca="true" t="shared" si="194" ref="CC39:CH39">IF(CN39="",IF(CC24="×","×",""),"○")</f>
      </c>
      <c r="CD39" s="202">
        <f t="shared" si="194"/>
      </c>
      <c r="CE39" s="202">
        <f t="shared" si="194"/>
      </c>
      <c r="CF39" s="202">
        <f t="shared" si="194"/>
      </c>
      <c r="CG39" s="202">
        <f t="shared" si="194"/>
      </c>
      <c r="CH39" s="203">
        <f t="shared" si="194"/>
      </c>
      <c r="CI39" s="150">
        <v>0</v>
      </c>
      <c r="CJ39" s="157"/>
      <c r="CL39" s="479"/>
      <c r="CM39" s="163" t="s">
        <v>65</v>
      </c>
      <c r="CN39" s="290">
        <f aca="true" t="shared" si="195" ref="CN39:CS39">IF(CY39="",IF(CN24="×","×",""),"○")</f>
      </c>
      <c r="CO39" s="202">
        <f t="shared" si="195"/>
      </c>
      <c r="CP39" s="202">
        <f t="shared" si="195"/>
      </c>
      <c r="CQ39" s="202">
        <f t="shared" si="195"/>
      </c>
      <c r="CR39" s="202">
        <f t="shared" si="195"/>
      </c>
      <c r="CS39" s="203">
        <f t="shared" si="195"/>
      </c>
      <c r="CT39" s="28">
        <v>5</v>
      </c>
      <c r="CU39" s="27">
        <v>0</v>
      </c>
      <c r="CW39" s="479"/>
      <c r="CX39" s="223" t="s">
        <v>65</v>
      </c>
      <c r="CY39" s="290">
        <f aca="true" t="shared" si="196" ref="CY39:DD39">IF(DJ39="",IF(CY24="×","×",""),"○")</f>
      </c>
      <c r="CZ39" s="202">
        <f t="shared" si="196"/>
      </c>
      <c r="DA39" s="202">
        <f t="shared" si="196"/>
      </c>
      <c r="DB39" s="202">
        <f t="shared" si="196"/>
      </c>
      <c r="DC39" s="202">
        <f t="shared" si="196"/>
      </c>
      <c r="DD39" s="203">
        <f t="shared" si="196"/>
      </c>
      <c r="DE39" s="150">
        <v>0</v>
      </c>
      <c r="DF39" s="157"/>
      <c r="DH39" s="479"/>
      <c r="DI39" s="163" t="s">
        <v>65</v>
      </c>
      <c r="DJ39" s="290">
        <f aca="true" t="shared" si="197" ref="DJ39:DO39">IF(DU39="",IF(DJ24="×","×",""),"○")</f>
      </c>
      <c r="DK39" s="202">
        <f t="shared" si="197"/>
      </c>
      <c r="DL39" s="202">
        <f t="shared" si="197"/>
      </c>
      <c r="DM39" s="202">
        <f t="shared" si="197"/>
      </c>
      <c r="DN39" s="202">
        <f t="shared" si="197"/>
      </c>
      <c r="DO39" s="203">
        <f t="shared" si="197"/>
      </c>
      <c r="DP39" s="28">
        <v>5</v>
      </c>
      <c r="DQ39" s="27">
        <v>0</v>
      </c>
      <c r="DS39" s="479"/>
      <c r="DT39" s="223" t="s">
        <v>65</v>
      </c>
      <c r="DU39" s="290">
        <f aca="true" t="shared" si="198" ref="DU39:DZ39">IF(EF39="",IF(DU24="×","×",""),"○")</f>
      </c>
      <c r="DV39" s="202">
        <f t="shared" si="198"/>
      </c>
      <c r="DW39" s="202">
        <f t="shared" si="198"/>
      </c>
      <c r="DX39" s="202">
        <f t="shared" si="198"/>
      </c>
      <c r="DY39" s="202">
        <f t="shared" si="198"/>
      </c>
      <c r="DZ39" s="203">
        <f t="shared" si="198"/>
      </c>
      <c r="EA39" s="150">
        <v>0</v>
      </c>
      <c r="EB39" s="157"/>
      <c r="ED39" s="479"/>
      <c r="EE39" s="163" t="s">
        <v>65</v>
      </c>
      <c r="EF39" s="290">
        <f aca="true" t="shared" si="199" ref="EF39:EK39">IF(EQ39="",IF(EF24="×","×",""),"○")</f>
      </c>
      <c r="EG39" s="202">
        <f t="shared" si="199"/>
      </c>
      <c r="EH39" s="202">
        <f t="shared" si="199"/>
      </c>
      <c r="EI39" s="202">
        <f t="shared" si="199"/>
      </c>
      <c r="EJ39" s="202">
        <f t="shared" si="199"/>
      </c>
      <c r="EK39" s="203">
        <f t="shared" si="199"/>
      </c>
      <c r="EL39" s="28">
        <v>5</v>
      </c>
      <c r="EM39" s="27">
        <v>0</v>
      </c>
      <c r="EO39" s="479"/>
      <c r="EP39" s="223" t="s">
        <v>65</v>
      </c>
      <c r="EQ39" s="290">
        <f aca="true" t="shared" si="200" ref="EQ39:EV39">IF(FB39="",IF(EQ24="×","×",""),"○")</f>
      </c>
      <c r="ER39" s="202">
        <f t="shared" si="200"/>
      </c>
      <c r="ES39" s="202">
        <f t="shared" si="200"/>
      </c>
      <c r="ET39" s="202">
        <f t="shared" si="200"/>
      </c>
      <c r="EU39" s="202">
        <f t="shared" si="200"/>
      </c>
      <c r="EV39" s="203">
        <f t="shared" si="200"/>
      </c>
      <c r="EW39" s="150">
        <v>0</v>
      </c>
      <c r="EX39" s="157"/>
      <c r="EZ39" s="479"/>
      <c r="FA39" s="163" t="s">
        <v>65</v>
      </c>
      <c r="FB39" s="290">
        <f aca="true" t="shared" si="201" ref="FB39:FG39">IF(FM39="",IF(FB24="×","×",""),"○")</f>
      </c>
      <c r="FC39" s="202">
        <f t="shared" si="201"/>
      </c>
      <c r="FD39" s="202">
        <f t="shared" si="201"/>
      </c>
      <c r="FE39" s="202">
        <f t="shared" si="201"/>
      </c>
      <c r="FF39" s="202">
        <f t="shared" si="201"/>
      </c>
      <c r="FG39" s="203">
        <f t="shared" si="201"/>
      </c>
      <c r="FH39" s="28">
        <v>5</v>
      </c>
      <c r="FI39" s="27">
        <v>0</v>
      </c>
      <c r="FK39" s="548"/>
      <c r="FL39" s="126" t="s">
        <v>65</v>
      </c>
      <c r="FM39" s="127"/>
      <c r="FN39" s="128"/>
      <c r="FO39" s="128"/>
      <c r="FP39" s="128"/>
      <c r="FQ39" s="128"/>
      <c r="FR39" s="129"/>
    </row>
    <row r="40" spans="2:174" ht="13.5">
      <c r="B40" s="479"/>
      <c r="C40" s="221" t="s">
        <v>66</v>
      </c>
      <c r="D40" s="171" t="s">
        <v>78</v>
      </c>
      <c r="E40" s="100"/>
      <c r="F40" s="100"/>
      <c r="G40" s="100"/>
      <c r="H40" s="100"/>
      <c r="I40" s="101"/>
      <c r="J40" s="151">
        <v>200</v>
      </c>
      <c r="K40" s="157"/>
      <c r="M40" s="479"/>
      <c r="N40" s="160" t="s">
        <v>66</v>
      </c>
      <c r="O40" s="266" t="str">
        <f aca="true" t="shared" si="202" ref="O40:T43">IF(Z40="○",Z40,"")</f>
        <v>○</v>
      </c>
      <c r="P40" s="204">
        <f t="shared" si="202"/>
      </c>
      <c r="Q40" s="204">
        <f t="shared" si="202"/>
      </c>
      <c r="R40" s="204">
        <f t="shared" si="202"/>
      </c>
      <c r="S40" s="204">
        <f t="shared" si="202"/>
      </c>
      <c r="T40" s="205">
        <f t="shared" si="202"/>
      </c>
      <c r="U40" s="26">
        <v>40</v>
      </c>
      <c r="V40" s="18">
        <v>200</v>
      </c>
      <c r="X40" s="479"/>
      <c r="Y40" s="160" t="s">
        <v>66</v>
      </c>
      <c r="Z40" s="266" t="str">
        <f aca="true" t="shared" si="203" ref="Z40:AE43">IF(AK40="○",AK40,"")</f>
        <v>○</v>
      </c>
      <c r="AA40" s="204">
        <f t="shared" si="203"/>
      </c>
      <c r="AB40" s="204">
        <f t="shared" si="203"/>
      </c>
      <c r="AC40" s="204">
        <f t="shared" si="203"/>
      </c>
      <c r="AD40" s="204">
        <f t="shared" si="203"/>
      </c>
      <c r="AE40" s="205">
        <f t="shared" si="203"/>
      </c>
      <c r="AF40" s="26">
        <v>40</v>
      </c>
      <c r="AG40" s="18">
        <v>200</v>
      </c>
      <c r="AI40" s="479"/>
      <c r="AJ40" s="160" t="s">
        <v>66</v>
      </c>
      <c r="AK40" s="266" t="str">
        <f aca="true" t="shared" si="204" ref="AK40:AP43">IF(AV40="○",AV40,"")</f>
        <v>○</v>
      </c>
      <c r="AL40" s="204">
        <f t="shared" si="204"/>
      </c>
      <c r="AM40" s="204">
        <f t="shared" si="204"/>
      </c>
      <c r="AN40" s="204">
        <f t="shared" si="204"/>
      </c>
      <c r="AO40" s="204">
        <f t="shared" si="204"/>
      </c>
      <c r="AP40" s="205">
        <f t="shared" si="204"/>
      </c>
      <c r="AQ40" s="26">
        <v>40</v>
      </c>
      <c r="AR40" s="18">
        <v>200</v>
      </c>
      <c r="AT40" s="479"/>
      <c r="AU40" s="221" t="s">
        <v>66</v>
      </c>
      <c r="AV40" s="171" t="s">
        <v>78</v>
      </c>
      <c r="AW40" s="100"/>
      <c r="AX40" s="100"/>
      <c r="AY40" s="100"/>
      <c r="AZ40" s="100"/>
      <c r="BA40" s="101"/>
      <c r="BB40" s="151">
        <v>200</v>
      </c>
      <c r="BC40" s="157"/>
      <c r="BE40" s="479"/>
      <c r="BF40" s="160" t="s">
        <v>66</v>
      </c>
      <c r="BG40" s="266" t="str">
        <f aca="true" t="shared" si="205" ref="BG40:BL43">IF(BR40="○",BR40,"")</f>
        <v>○</v>
      </c>
      <c r="BH40" s="204">
        <f t="shared" si="205"/>
      </c>
      <c r="BI40" s="204">
        <f t="shared" si="205"/>
      </c>
      <c r="BJ40" s="204">
        <f t="shared" si="205"/>
      </c>
      <c r="BK40" s="204">
        <f t="shared" si="205"/>
      </c>
      <c r="BL40" s="205">
        <f t="shared" si="205"/>
      </c>
      <c r="BM40" s="26">
        <v>40</v>
      </c>
      <c r="BN40" s="18">
        <v>200</v>
      </c>
      <c r="BP40" s="479"/>
      <c r="BQ40" s="160" t="s">
        <v>66</v>
      </c>
      <c r="BR40" s="266" t="str">
        <f aca="true" t="shared" si="206" ref="BR40:BW43">IF(CC40="○",CC40,"")</f>
        <v>○</v>
      </c>
      <c r="BS40" s="204">
        <f t="shared" si="206"/>
      </c>
      <c r="BT40" s="204">
        <f t="shared" si="206"/>
      </c>
      <c r="BU40" s="204">
        <f t="shared" si="206"/>
      </c>
      <c r="BV40" s="204">
        <f t="shared" si="206"/>
      </c>
      <c r="BW40" s="205">
        <f t="shared" si="206"/>
      </c>
      <c r="BX40" s="26">
        <v>40</v>
      </c>
      <c r="BY40" s="18">
        <v>200</v>
      </c>
      <c r="CA40" s="479"/>
      <c r="CB40" s="221" t="s">
        <v>66</v>
      </c>
      <c r="CC40" s="171" t="s">
        <v>78</v>
      </c>
      <c r="CD40" s="100"/>
      <c r="CE40" s="100"/>
      <c r="CF40" s="100"/>
      <c r="CG40" s="100"/>
      <c r="CH40" s="101"/>
      <c r="CI40" s="151">
        <v>200</v>
      </c>
      <c r="CJ40" s="157"/>
      <c r="CL40" s="479"/>
      <c r="CM40" s="160" t="s">
        <v>66</v>
      </c>
      <c r="CN40" s="266">
        <f aca="true" t="shared" si="207" ref="CN40:CS43">IF(CY40="○",CY40,"")</f>
      </c>
      <c r="CO40" s="204">
        <f t="shared" si="207"/>
      </c>
      <c r="CP40" s="204">
        <f t="shared" si="207"/>
      </c>
      <c r="CQ40" s="204">
        <f t="shared" si="207"/>
      </c>
      <c r="CR40" s="204">
        <f t="shared" si="207"/>
      </c>
      <c r="CS40" s="205">
        <f t="shared" si="207"/>
      </c>
      <c r="CT40" s="26">
        <v>40</v>
      </c>
      <c r="CU40" s="18">
        <v>200</v>
      </c>
      <c r="CW40" s="479"/>
      <c r="CX40" s="221" t="s">
        <v>66</v>
      </c>
      <c r="CY40" s="171"/>
      <c r="CZ40" s="100"/>
      <c r="DA40" s="100"/>
      <c r="DB40" s="100"/>
      <c r="DC40" s="100"/>
      <c r="DD40" s="101"/>
      <c r="DE40" s="151">
        <v>200</v>
      </c>
      <c r="DF40" s="157"/>
      <c r="DH40" s="479"/>
      <c r="DI40" s="160" t="s">
        <v>66</v>
      </c>
      <c r="DJ40" s="266">
        <f aca="true" t="shared" si="208" ref="DJ40:DO43">IF(DU40="○",DU40,"")</f>
      </c>
      <c r="DK40" s="204">
        <f t="shared" si="208"/>
      </c>
      <c r="DL40" s="204">
        <f t="shared" si="208"/>
      </c>
      <c r="DM40" s="204">
        <f t="shared" si="208"/>
      </c>
      <c r="DN40" s="204">
        <f t="shared" si="208"/>
      </c>
      <c r="DO40" s="205">
        <f t="shared" si="208"/>
      </c>
      <c r="DP40" s="26">
        <v>40</v>
      </c>
      <c r="DQ40" s="18">
        <v>200</v>
      </c>
      <c r="DS40" s="479"/>
      <c r="DT40" s="221" t="s">
        <v>66</v>
      </c>
      <c r="DU40" s="171"/>
      <c r="DV40" s="100"/>
      <c r="DW40" s="100"/>
      <c r="DX40" s="100"/>
      <c r="DY40" s="100"/>
      <c r="DZ40" s="101"/>
      <c r="EA40" s="151">
        <v>200</v>
      </c>
      <c r="EB40" s="157"/>
      <c r="ED40" s="479"/>
      <c r="EE40" s="160" t="s">
        <v>66</v>
      </c>
      <c r="EF40" s="266">
        <f aca="true" t="shared" si="209" ref="EF40:EK43">IF(EQ40="○",EQ40,"")</f>
      </c>
      <c r="EG40" s="204">
        <f t="shared" si="209"/>
      </c>
      <c r="EH40" s="204">
        <f t="shared" si="209"/>
      </c>
      <c r="EI40" s="204">
        <f t="shared" si="209"/>
      </c>
      <c r="EJ40" s="204">
        <f t="shared" si="209"/>
      </c>
      <c r="EK40" s="205">
        <f t="shared" si="209"/>
      </c>
      <c r="EL40" s="26">
        <v>40</v>
      </c>
      <c r="EM40" s="18">
        <v>200</v>
      </c>
      <c r="EO40" s="479"/>
      <c r="EP40" s="221" t="s">
        <v>66</v>
      </c>
      <c r="EQ40" s="171"/>
      <c r="ER40" s="100"/>
      <c r="ES40" s="100"/>
      <c r="ET40" s="100"/>
      <c r="EU40" s="100"/>
      <c r="EV40" s="101"/>
      <c r="EW40" s="151">
        <v>200</v>
      </c>
      <c r="EX40" s="157"/>
      <c r="EZ40" s="479"/>
      <c r="FA40" s="160" t="s">
        <v>66</v>
      </c>
      <c r="FB40" s="266">
        <f aca="true" t="shared" si="210" ref="FB40:FG43">IF(FM40="○",FM40,"")</f>
      </c>
      <c r="FC40" s="204">
        <f t="shared" si="210"/>
      </c>
      <c r="FD40" s="204">
        <f t="shared" si="210"/>
      </c>
      <c r="FE40" s="204">
        <f t="shared" si="210"/>
      </c>
      <c r="FF40" s="204">
        <f t="shared" si="210"/>
      </c>
      <c r="FG40" s="205">
        <f t="shared" si="210"/>
      </c>
      <c r="FH40" s="26">
        <v>40</v>
      </c>
      <c r="FI40" s="18">
        <v>200</v>
      </c>
      <c r="FK40" s="548"/>
      <c r="FL40" s="130" t="s">
        <v>66</v>
      </c>
      <c r="FM40" s="131"/>
      <c r="FN40" s="132"/>
      <c r="FO40" s="132"/>
      <c r="FP40" s="132"/>
      <c r="FQ40" s="132"/>
      <c r="FR40" s="133"/>
    </row>
    <row r="41" spans="2:174" ht="13.5">
      <c r="B41" s="479"/>
      <c r="C41" s="221" t="s">
        <v>67</v>
      </c>
      <c r="D41" s="171"/>
      <c r="E41" s="100"/>
      <c r="F41" s="100" t="s">
        <v>78</v>
      </c>
      <c r="G41" s="100"/>
      <c r="H41" s="100"/>
      <c r="I41" s="101"/>
      <c r="J41" s="151">
        <v>240</v>
      </c>
      <c r="K41" s="157"/>
      <c r="M41" s="479"/>
      <c r="N41" s="160" t="s">
        <v>67</v>
      </c>
      <c r="O41" s="266">
        <f t="shared" si="202"/>
      </c>
      <c r="P41" s="204">
        <f t="shared" si="202"/>
      </c>
      <c r="Q41" s="204" t="str">
        <f t="shared" si="202"/>
        <v>○</v>
      </c>
      <c r="R41" s="204">
        <f t="shared" si="202"/>
      </c>
      <c r="S41" s="204">
        <f t="shared" si="202"/>
      </c>
      <c r="T41" s="205">
        <f t="shared" si="202"/>
      </c>
      <c r="U41" s="167">
        <v>120</v>
      </c>
      <c r="V41" s="18">
        <v>240</v>
      </c>
      <c r="X41" s="479"/>
      <c r="Y41" s="160" t="s">
        <v>67</v>
      </c>
      <c r="Z41" s="266">
        <f t="shared" si="203"/>
      </c>
      <c r="AA41" s="204">
        <f t="shared" si="203"/>
      </c>
      <c r="AB41" s="204" t="str">
        <f t="shared" si="203"/>
        <v>○</v>
      </c>
      <c r="AC41" s="204">
        <f t="shared" si="203"/>
      </c>
      <c r="AD41" s="204">
        <f t="shared" si="203"/>
      </c>
      <c r="AE41" s="205">
        <f t="shared" si="203"/>
      </c>
      <c r="AF41" s="167">
        <v>30</v>
      </c>
      <c r="AG41" s="18">
        <v>240</v>
      </c>
      <c r="AI41" s="479"/>
      <c r="AJ41" s="160" t="s">
        <v>67</v>
      </c>
      <c r="AK41" s="266">
        <f t="shared" si="204"/>
      </c>
      <c r="AL41" s="204">
        <f t="shared" si="204"/>
      </c>
      <c r="AM41" s="204" t="str">
        <f t="shared" si="204"/>
        <v>○</v>
      </c>
      <c r="AN41" s="204">
        <f t="shared" si="204"/>
      </c>
      <c r="AO41" s="204">
        <f t="shared" si="204"/>
      </c>
      <c r="AP41" s="205">
        <f t="shared" si="204"/>
      </c>
      <c r="AQ41" s="167">
        <v>25</v>
      </c>
      <c r="AR41" s="18">
        <v>240</v>
      </c>
      <c r="AT41" s="479"/>
      <c r="AU41" s="221" t="s">
        <v>67</v>
      </c>
      <c r="AV41" s="171"/>
      <c r="AW41" s="100"/>
      <c r="AX41" s="100" t="s">
        <v>78</v>
      </c>
      <c r="AY41" s="100"/>
      <c r="AZ41" s="100"/>
      <c r="BA41" s="101"/>
      <c r="BB41" s="151">
        <v>240</v>
      </c>
      <c r="BC41" s="157"/>
      <c r="BE41" s="479"/>
      <c r="BF41" s="160" t="s">
        <v>67</v>
      </c>
      <c r="BG41" s="266">
        <f t="shared" si="205"/>
      </c>
      <c r="BH41" s="204">
        <f t="shared" si="205"/>
      </c>
      <c r="BI41" s="204">
        <f t="shared" si="205"/>
      </c>
      <c r="BJ41" s="204">
        <f t="shared" si="205"/>
      </c>
      <c r="BK41" s="204">
        <f t="shared" si="205"/>
      </c>
      <c r="BL41" s="205">
        <f t="shared" si="205"/>
      </c>
      <c r="BM41" s="167"/>
      <c r="BN41" s="18">
        <v>240</v>
      </c>
      <c r="BP41" s="479"/>
      <c r="BQ41" s="160" t="s">
        <v>67</v>
      </c>
      <c r="BR41" s="266">
        <f t="shared" si="206"/>
      </c>
      <c r="BS41" s="204">
        <f t="shared" si="206"/>
      </c>
      <c r="BT41" s="204">
        <f t="shared" si="206"/>
      </c>
      <c r="BU41" s="204">
        <f t="shared" si="206"/>
      </c>
      <c r="BV41" s="204">
        <f t="shared" si="206"/>
      </c>
      <c r="BW41" s="205">
        <f t="shared" si="206"/>
      </c>
      <c r="BX41" s="167"/>
      <c r="BY41" s="18">
        <v>240</v>
      </c>
      <c r="CA41" s="479"/>
      <c r="CB41" s="221" t="s">
        <v>67</v>
      </c>
      <c r="CC41" s="171"/>
      <c r="CD41" s="100"/>
      <c r="CE41" s="100"/>
      <c r="CF41" s="100"/>
      <c r="CG41" s="100"/>
      <c r="CH41" s="101"/>
      <c r="CI41" s="151">
        <v>240</v>
      </c>
      <c r="CJ41" s="157"/>
      <c r="CL41" s="479"/>
      <c r="CM41" s="160" t="s">
        <v>67</v>
      </c>
      <c r="CN41" s="266">
        <f t="shared" si="207"/>
      </c>
      <c r="CO41" s="204">
        <f t="shared" si="207"/>
      </c>
      <c r="CP41" s="204">
        <f t="shared" si="207"/>
      </c>
      <c r="CQ41" s="204">
        <f t="shared" si="207"/>
      </c>
      <c r="CR41" s="204">
        <f t="shared" si="207"/>
      </c>
      <c r="CS41" s="205">
        <f t="shared" si="207"/>
      </c>
      <c r="CT41" s="167"/>
      <c r="CU41" s="18">
        <v>240</v>
      </c>
      <c r="CW41" s="479"/>
      <c r="CX41" s="221" t="s">
        <v>67</v>
      </c>
      <c r="CY41" s="171"/>
      <c r="CZ41" s="100"/>
      <c r="DA41" s="100"/>
      <c r="DB41" s="100"/>
      <c r="DC41" s="100"/>
      <c r="DD41" s="101"/>
      <c r="DE41" s="151">
        <v>240</v>
      </c>
      <c r="DF41" s="157"/>
      <c r="DH41" s="479"/>
      <c r="DI41" s="160" t="s">
        <v>67</v>
      </c>
      <c r="DJ41" s="266">
        <f t="shared" si="208"/>
      </c>
      <c r="DK41" s="204">
        <f t="shared" si="208"/>
      </c>
      <c r="DL41" s="204">
        <f t="shared" si="208"/>
      </c>
      <c r="DM41" s="204">
        <f t="shared" si="208"/>
      </c>
      <c r="DN41" s="204">
        <f t="shared" si="208"/>
      </c>
      <c r="DO41" s="205">
        <f t="shared" si="208"/>
      </c>
      <c r="DP41" s="167"/>
      <c r="DQ41" s="18">
        <v>240</v>
      </c>
      <c r="DS41" s="479"/>
      <c r="DT41" s="221" t="s">
        <v>67</v>
      </c>
      <c r="DU41" s="171"/>
      <c r="DV41" s="100"/>
      <c r="DW41" s="100"/>
      <c r="DX41" s="100"/>
      <c r="DY41" s="100"/>
      <c r="DZ41" s="101"/>
      <c r="EA41" s="151">
        <v>240</v>
      </c>
      <c r="EB41" s="157"/>
      <c r="ED41" s="479"/>
      <c r="EE41" s="160" t="s">
        <v>67</v>
      </c>
      <c r="EF41" s="266">
        <f t="shared" si="209"/>
      </c>
      <c r="EG41" s="204">
        <f t="shared" si="209"/>
      </c>
      <c r="EH41" s="204">
        <f t="shared" si="209"/>
      </c>
      <c r="EI41" s="204">
        <f t="shared" si="209"/>
      </c>
      <c r="EJ41" s="204">
        <f t="shared" si="209"/>
      </c>
      <c r="EK41" s="205">
        <f t="shared" si="209"/>
      </c>
      <c r="EL41" s="167"/>
      <c r="EM41" s="18">
        <v>240</v>
      </c>
      <c r="EO41" s="479"/>
      <c r="EP41" s="221" t="s">
        <v>67</v>
      </c>
      <c r="EQ41" s="171"/>
      <c r="ER41" s="100"/>
      <c r="ES41" s="100"/>
      <c r="ET41" s="100"/>
      <c r="EU41" s="100"/>
      <c r="EV41" s="101"/>
      <c r="EW41" s="151">
        <v>240</v>
      </c>
      <c r="EX41" s="157"/>
      <c r="EZ41" s="479"/>
      <c r="FA41" s="160" t="s">
        <v>67</v>
      </c>
      <c r="FB41" s="266">
        <f t="shared" si="210"/>
      </c>
      <c r="FC41" s="204">
        <f t="shared" si="210"/>
      </c>
      <c r="FD41" s="204">
        <f t="shared" si="210"/>
      </c>
      <c r="FE41" s="204">
        <f t="shared" si="210"/>
      </c>
      <c r="FF41" s="204">
        <f t="shared" si="210"/>
      </c>
      <c r="FG41" s="205">
        <f t="shared" si="210"/>
      </c>
      <c r="FH41" s="167"/>
      <c r="FI41" s="18">
        <v>240</v>
      </c>
      <c r="FK41" s="548"/>
      <c r="FL41" s="130" t="s">
        <v>67</v>
      </c>
      <c r="FM41" s="131"/>
      <c r="FN41" s="132"/>
      <c r="FO41" s="132"/>
      <c r="FP41" s="132"/>
      <c r="FQ41" s="132"/>
      <c r="FR41" s="133"/>
    </row>
    <row r="42" spans="2:176" s="108" customFormat="1" ht="13.5">
      <c r="B42" s="479"/>
      <c r="C42" s="221" t="s">
        <v>68</v>
      </c>
      <c r="D42" s="171"/>
      <c r="E42" s="100"/>
      <c r="F42" s="100" t="s">
        <v>78</v>
      </c>
      <c r="G42" s="100"/>
      <c r="H42" s="100"/>
      <c r="I42" s="101"/>
      <c r="J42" s="151">
        <v>280</v>
      </c>
      <c r="K42" s="157"/>
      <c r="M42" s="479"/>
      <c r="N42" s="160" t="s">
        <v>68</v>
      </c>
      <c r="O42" s="266">
        <f t="shared" si="202"/>
      </c>
      <c r="P42" s="204">
        <f t="shared" si="202"/>
      </c>
      <c r="Q42" s="204" t="str">
        <f t="shared" si="202"/>
        <v>○</v>
      </c>
      <c r="R42" s="204">
        <f t="shared" si="202"/>
      </c>
      <c r="S42" s="204">
        <f t="shared" si="202"/>
      </c>
      <c r="T42" s="205">
        <f t="shared" si="202"/>
      </c>
      <c r="U42" s="167">
        <v>60</v>
      </c>
      <c r="V42" s="18">
        <v>280</v>
      </c>
      <c r="X42" s="479"/>
      <c r="Y42" s="160" t="s">
        <v>68</v>
      </c>
      <c r="Z42" s="266">
        <f t="shared" si="203"/>
      </c>
      <c r="AA42" s="204">
        <f t="shared" si="203"/>
      </c>
      <c r="AB42" s="204" t="str">
        <f t="shared" si="203"/>
        <v>○</v>
      </c>
      <c r="AC42" s="204">
        <f t="shared" si="203"/>
      </c>
      <c r="AD42" s="204">
        <f t="shared" si="203"/>
      </c>
      <c r="AE42" s="205">
        <f t="shared" si="203"/>
      </c>
      <c r="AF42" s="167">
        <v>60</v>
      </c>
      <c r="AG42" s="18">
        <v>280</v>
      </c>
      <c r="AI42" s="479"/>
      <c r="AJ42" s="160" t="s">
        <v>68</v>
      </c>
      <c r="AK42" s="266">
        <f t="shared" si="204"/>
      </c>
      <c r="AL42" s="204">
        <f t="shared" si="204"/>
      </c>
      <c r="AM42" s="204" t="str">
        <f t="shared" si="204"/>
        <v>○</v>
      </c>
      <c r="AN42" s="204">
        <f t="shared" si="204"/>
      </c>
      <c r="AO42" s="204">
        <f t="shared" si="204"/>
      </c>
      <c r="AP42" s="205">
        <f t="shared" si="204"/>
      </c>
      <c r="AQ42" s="167">
        <v>100</v>
      </c>
      <c r="AR42" s="18">
        <v>280</v>
      </c>
      <c r="AT42" s="479"/>
      <c r="AU42" s="221" t="s">
        <v>68</v>
      </c>
      <c r="AV42" s="171"/>
      <c r="AW42" s="100"/>
      <c r="AX42" s="100" t="s">
        <v>78</v>
      </c>
      <c r="AY42" s="100"/>
      <c r="AZ42" s="100"/>
      <c r="BA42" s="101"/>
      <c r="BB42" s="151">
        <v>280</v>
      </c>
      <c r="BC42" s="157"/>
      <c r="BE42" s="479"/>
      <c r="BF42" s="160" t="s">
        <v>68</v>
      </c>
      <c r="BG42" s="266">
        <f t="shared" si="205"/>
      </c>
      <c r="BH42" s="204">
        <f t="shared" si="205"/>
      </c>
      <c r="BI42" s="204" t="str">
        <f t="shared" si="205"/>
        <v>○</v>
      </c>
      <c r="BJ42" s="204">
        <f t="shared" si="205"/>
      </c>
      <c r="BK42" s="204">
        <f t="shared" si="205"/>
      </c>
      <c r="BL42" s="205">
        <f t="shared" si="205"/>
      </c>
      <c r="BM42" s="167">
        <v>60</v>
      </c>
      <c r="BN42" s="18">
        <v>280</v>
      </c>
      <c r="BP42" s="479"/>
      <c r="BQ42" s="160" t="s">
        <v>68</v>
      </c>
      <c r="BR42" s="266">
        <f t="shared" si="206"/>
      </c>
      <c r="BS42" s="204">
        <f t="shared" si="206"/>
      </c>
      <c r="BT42" s="204" t="str">
        <f t="shared" si="206"/>
        <v>○</v>
      </c>
      <c r="BU42" s="204">
        <f t="shared" si="206"/>
      </c>
      <c r="BV42" s="204">
        <f t="shared" si="206"/>
      </c>
      <c r="BW42" s="205">
        <f t="shared" si="206"/>
      </c>
      <c r="BX42" s="167">
        <v>60</v>
      </c>
      <c r="BY42" s="18">
        <v>280</v>
      </c>
      <c r="CA42" s="479"/>
      <c r="CB42" s="221" t="s">
        <v>68</v>
      </c>
      <c r="CC42" s="171"/>
      <c r="CD42" s="100"/>
      <c r="CE42" s="100" t="s">
        <v>78</v>
      </c>
      <c r="CF42" s="100"/>
      <c r="CG42" s="100"/>
      <c r="CH42" s="101"/>
      <c r="CI42" s="151">
        <v>280</v>
      </c>
      <c r="CJ42" s="157"/>
      <c r="CL42" s="479"/>
      <c r="CM42" s="160" t="s">
        <v>68</v>
      </c>
      <c r="CN42" s="266">
        <f t="shared" si="207"/>
      </c>
      <c r="CO42" s="204">
        <f t="shared" si="207"/>
      </c>
      <c r="CP42" s="204" t="str">
        <f t="shared" si="207"/>
        <v>○</v>
      </c>
      <c r="CQ42" s="204">
        <f t="shared" si="207"/>
      </c>
      <c r="CR42" s="204">
        <f t="shared" si="207"/>
      </c>
      <c r="CS42" s="205">
        <f t="shared" si="207"/>
      </c>
      <c r="CT42" s="167">
        <v>60</v>
      </c>
      <c r="CU42" s="18">
        <v>280</v>
      </c>
      <c r="CW42" s="479"/>
      <c r="CX42" s="221" t="s">
        <v>68</v>
      </c>
      <c r="CY42" s="171"/>
      <c r="CZ42" s="100"/>
      <c r="DA42" s="100" t="s">
        <v>78</v>
      </c>
      <c r="DB42" s="100"/>
      <c r="DC42" s="100"/>
      <c r="DD42" s="101"/>
      <c r="DE42" s="151">
        <v>280</v>
      </c>
      <c r="DF42" s="157"/>
      <c r="DH42" s="479"/>
      <c r="DI42" s="160" t="s">
        <v>68</v>
      </c>
      <c r="DJ42" s="266">
        <f t="shared" si="208"/>
      </c>
      <c r="DK42" s="204">
        <f t="shared" si="208"/>
      </c>
      <c r="DL42" s="204" t="str">
        <f t="shared" si="208"/>
        <v>○</v>
      </c>
      <c r="DM42" s="204">
        <f t="shared" si="208"/>
      </c>
      <c r="DN42" s="204">
        <f t="shared" si="208"/>
      </c>
      <c r="DO42" s="205">
        <f t="shared" si="208"/>
      </c>
      <c r="DP42" s="167">
        <v>60</v>
      </c>
      <c r="DQ42" s="18">
        <v>280</v>
      </c>
      <c r="DS42" s="479"/>
      <c r="DT42" s="221" t="s">
        <v>68</v>
      </c>
      <c r="DU42" s="171"/>
      <c r="DV42" s="100"/>
      <c r="DW42" s="100" t="s">
        <v>78</v>
      </c>
      <c r="DX42" s="100"/>
      <c r="DY42" s="100"/>
      <c r="DZ42" s="101"/>
      <c r="EA42" s="151">
        <v>280</v>
      </c>
      <c r="EB42" s="157"/>
      <c r="ED42" s="479"/>
      <c r="EE42" s="160" t="s">
        <v>68</v>
      </c>
      <c r="EF42" s="266">
        <f t="shared" si="209"/>
      </c>
      <c r="EG42" s="204">
        <f t="shared" si="209"/>
      </c>
      <c r="EH42" s="204" t="str">
        <f t="shared" si="209"/>
        <v>○</v>
      </c>
      <c r="EI42" s="204">
        <f t="shared" si="209"/>
      </c>
      <c r="EJ42" s="204">
        <f t="shared" si="209"/>
      </c>
      <c r="EK42" s="205">
        <f t="shared" si="209"/>
      </c>
      <c r="EL42" s="167">
        <v>60</v>
      </c>
      <c r="EM42" s="18">
        <v>280</v>
      </c>
      <c r="EO42" s="479"/>
      <c r="EP42" s="221" t="s">
        <v>68</v>
      </c>
      <c r="EQ42" s="171"/>
      <c r="ER42" s="100"/>
      <c r="ES42" s="100" t="s">
        <v>78</v>
      </c>
      <c r="ET42" s="100"/>
      <c r="EU42" s="100"/>
      <c r="EV42" s="101"/>
      <c r="EW42" s="151">
        <v>280</v>
      </c>
      <c r="EX42" s="157"/>
      <c r="EZ42" s="479"/>
      <c r="FA42" s="160" t="s">
        <v>68</v>
      </c>
      <c r="FB42" s="266">
        <f t="shared" si="210"/>
      </c>
      <c r="FC42" s="204">
        <f t="shared" si="210"/>
      </c>
      <c r="FD42" s="204">
        <f t="shared" si="210"/>
      </c>
      <c r="FE42" s="204">
        <f t="shared" si="210"/>
      </c>
      <c r="FF42" s="204">
        <f t="shared" si="210"/>
      </c>
      <c r="FG42" s="205">
        <f t="shared" si="210"/>
      </c>
      <c r="FH42" s="167"/>
      <c r="FI42" s="18">
        <v>280</v>
      </c>
      <c r="FJ42" s="1"/>
      <c r="FK42" s="548"/>
      <c r="FL42" s="130" t="s">
        <v>68</v>
      </c>
      <c r="FM42" s="131"/>
      <c r="FN42" s="132"/>
      <c r="FO42" s="132"/>
      <c r="FP42" s="132"/>
      <c r="FQ42" s="132"/>
      <c r="FR42" s="133"/>
      <c r="FS42" s="1"/>
      <c r="FT42" s="1"/>
    </row>
    <row r="43" spans="2:174" ht="14.25" thickBot="1">
      <c r="B43" s="453"/>
      <c r="C43" s="41" t="s">
        <v>69</v>
      </c>
      <c r="D43" s="172"/>
      <c r="E43" s="117" t="s">
        <v>78</v>
      </c>
      <c r="F43" s="117"/>
      <c r="G43" s="117"/>
      <c r="H43" s="117"/>
      <c r="I43" s="118"/>
      <c r="J43" s="152">
        <v>320</v>
      </c>
      <c r="K43" s="107"/>
      <c r="M43" s="453"/>
      <c r="N43" s="164" t="s">
        <v>69</v>
      </c>
      <c r="O43" s="267">
        <f t="shared" si="202"/>
      </c>
      <c r="P43" s="206" t="str">
        <f t="shared" si="202"/>
        <v>○</v>
      </c>
      <c r="Q43" s="206">
        <f t="shared" si="202"/>
      </c>
      <c r="R43" s="206">
        <f t="shared" si="202"/>
      </c>
      <c r="S43" s="206">
        <f t="shared" si="202"/>
      </c>
      <c r="T43" s="207">
        <f t="shared" si="202"/>
      </c>
      <c r="U43" s="166">
        <v>70</v>
      </c>
      <c r="V43" s="16">
        <v>320</v>
      </c>
      <c r="X43" s="453"/>
      <c r="Y43" s="164" t="s">
        <v>69</v>
      </c>
      <c r="Z43" s="267">
        <f t="shared" si="203"/>
      </c>
      <c r="AA43" s="206" t="str">
        <f t="shared" si="203"/>
        <v>○</v>
      </c>
      <c r="AB43" s="206">
        <f t="shared" si="203"/>
      </c>
      <c r="AC43" s="206">
        <f t="shared" si="203"/>
      </c>
      <c r="AD43" s="206">
        <f t="shared" si="203"/>
      </c>
      <c r="AE43" s="207">
        <f t="shared" si="203"/>
      </c>
      <c r="AF43" s="166">
        <v>70</v>
      </c>
      <c r="AG43" s="16">
        <v>320</v>
      </c>
      <c r="AI43" s="453"/>
      <c r="AJ43" s="164" t="s">
        <v>69</v>
      </c>
      <c r="AK43" s="267">
        <f t="shared" si="204"/>
      </c>
      <c r="AL43" s="206" t="str">
        <f t="shared" si="204"/>
        <v>○</v>
      </c>
      <c r="AM43" s="206">
        <f t="shared" si="204"/>
      </c>
      <c r="AN43" s="206">
        <f t="shared" si="204"/>
      </c>
      <c r="AO43" s="206">
        <f t="shared" si="204"/>
      </c>
      <c r="AP43" s="207">
        <f t="shared" si="204"/>
      </c>
      <c r="AQ43" s="166">
        <v>70</v>
      </c>
      <c r="AR43" s="16">
        <v>320</v>
      </c>
      <c r="AT43" s="453"/>
      <c r="AU43" s="41" t="s">
        <v>69</v>
      </c>
      <c r="AV43" s="172"/>
      <c r="AW43" s="117" t="s">
        <v>78</v>
      </c>
      <c r="AX43" s="117"/>
      <c r="AY43" s="117"/>
      <c r="AZ43" s="117"/>
      <c r="BA43" s="118"/>
      <c r="BB43" s="152">
        <v>320</v>
      </c>
      <c r="BC43" s="107"/>
      <c r="BE43" s="453"/>
      <c r="BF43" s="164" t="s">
        <v>69</v>
      </c>
      <c r="BG43" s="267">
        <f t="shared" si="205"/>
      </c>
      <c r="BH43" s="206" t="str">
        <f t="shared" si="205"/>
        <v>○</v>
      </c>
      <c r="BI43" s="206">
        <f t="shared" si="205"/>
      </c>
      <c r="BJ43" s="206">
        <f t="shared" si="205"/>
      </c>
      <c r="BK43" s="206">
        <f t="shared" si="205"/>
      </c>
      <c r="BL43" s="207">
        <f t="shared" si="205"/>
      </c>
      <c r="BM43" s="166">
        <v>70</v>
      </c>
      <c r="BN43" s="16">
        <v>320</v>
      </c>
      <c r="BP43" s="453"/>
      <c r="BQ43" s="164" t="s">
        <v>69</v>
      </c>
      <c r="BR43" s="267">
        <f t="shared" si="206"/>
      </c>
      <c r="BS43" s="206" t="str">
        <f t="shared" si="206"/>
        <v>○</v>
      </c>
      <c r="BT43" s="206">
        <f t="shared" si="206"/>
      </c>
      <c r="BU43" s="206">
        <f t="shared" si="206"/>
      </c>
      <c r="BV43" s="206">
        <f t="shared" si="206"/>
      </c>
      <c r="BW43" s="207">
        <f t="shared" si="206"/>
      </c>
      <c r="BX43" s="166">
        <v>70</v>
      </c>
      <c r="BY43" s="16">
        <v>320</v>
      </c>
      <c r="CA43" s="453"/>
      <c r="CB43" s="41" t="s">
        <v>69</v>
      </c>
      <c r="CC43" s="172"/>
      <c r="CD43" s="117" t="s">
        <v>78</v>
      </c>
      <c r="CE43" s="117"/>
      <c r="CF43" s="117"/>
      <c r="CG43" s="117"/>
      <c r="CH43" s="118"/>
      <c r="CI43" s="152">
        <v>320</v>
      </c>
      <c r="CJ43" s="107"/>
      <c r="CL43" s="453"/>
      <c r="CM43" s="164" t="s">
        <v>69</v>
      </c>
      <c r="CN43" s="267">
        <f t="shared" si="207"/>
      </c>
      <c r="CO43" s="206" t="str">
        <f t="shared" si="207"/>
        <v>○</v>
      </c>
      <c r="CP43" s="206">
        <f t="shared" si="207"/>
      </c>
      <c r="CQ43" s="206">
        <f t="shared" si="207"/>
      </c>
      <c r="CR43" s="206">
        <f t="shared" si="207"/>
      </c>
      <c r="CS43" s="207">
        <f t="shared" si="207"/>
      </c>
      <c r="CT43" s="166">
        <v>70</v>
      </c>
      <c r="CU43" s="16">
        <v>320</v>
      </c>
      <c r="CW43" s="453"/>
      <c r="CX43" s="41" t="s">
        <v>69</v>
      </c>
      <c r="CY43" s="172"/>
      <c r="CZ43" s="117" t="s">
        <v>78</v>
      </c>
      <c r="DA43" s="117"/>
      <c r="DB43" s="117"/>
      <c r="DC43" s="117"/>
      <c r="DD43" s="118"/>
      <c r="DE43" s="152">
        <v>320</v>
      </c>
      <c r="DF43" s="107"/>
      <c r="DH43" s="453"/>
      <c r="DI43" s="164" t="s">
        <v>69</v>
      </c>
      <c r="DJ43" s="267">
        <f t="shared" si="208"/>
      </c>
      <c r="DK43" s="206">
        <f t="shared" si="208"/>
      </c>
      <c r="DL43" s="206">
        <f t="shared" si="208"/>
      </c>
      <c r="DM43" s="206">
        <f t="shared" si="208"/>
      </c>
      <c r="DN43" s="206">
        <f t="shared" si="208"/>
      </c>
      <c r="DO43" s="207">
        <f t="shared" si="208"/>
      </c>
      <c r="DP43" s="166">
        <v>70</v>
      </c>
      <c r="DQ43" s="16">
        <v>320</v>
      </c>
      <c r="DS43" s="453"/>
      <c r="DT43" s="41" t="s">
        <v>69</v>
      </c>
      <c r="DU43" s="172"/>
      <c r="DV43" s="117"/>
      <c r="DW43" s="117"/>
      <c r="DX43" s="117"/>
      <c r="DY43" s="117"/>
      <c r="DZ43" s="118"/>
      <c r="EA43" s="152">
        <v>320</v>
      </c>
      <c r="EB43" s="107"/>
      <c r="ED43" s="453"/>
      <c r="EE43" s="164" t="s">
        <v>69</v>
      </c>
      <c r="EF43" s="267">
        <f t="shared" si="209"/>
      </c>
      <c r="EG43" s="206">
        <f t="shared" si="209"/>
      </c>
      <c r="EH43" s="206">
        <f t="shared" si="209"/>
      </c>
      <c r="EI43" s="206">
        <f t="shared" si="209"/>
      </c>
      <c r="EJ43" s="206">
        <f t="shared" si="209"/>
      </c>
      <c r="EK43" s="207">
        <f t="shared" si="209"/>
      </c>
      <c r="EL43" s="166">
        <v>70</v>
      </c>
      <c r="EM43" s="16">
        <v>320</v>
      </c>
      <c r="EO43" s="453"/>
      <c r="EP43" s="41" t="s">
        <v>69</v>
      </c>
      <c r="EQ43" s="172"/>
      <c r="ER43" s="117"/>
      <c r="ES43" s="117"/>
      <c r="ET43" s="117"/>
      <c r="EU43" s="117"/>
      <c r="EV43" s="118"/>
      <c r="EW43" s="152">
        <v>320</v>
      </c>
      <c r="EX43" s="107"/>
      <c r="EZ43" s="453"/>
      <c r="FA43" s="164" t="s">
        <v>69</v>
      </c>
      <c r="FB43" s="267">
        <f t="shared" si="210"/>
      </c>
      <c r="FC43" s="206">
        <f t="shared" si="210"/>
      </c>
      <c r="FD43" s="206">
        <f t="shared" si="210"/>
      </c>
      <c r="FE43" s="206">
        <f t="shared" si="210"/>
      </c>
      <c r="FF43" s="206">
        <f t="shared" si="210"/>
      </c>
      <c r="FG43" s="207">
        <f t="shared" si="210"/>
      </c>
      <c r="FH43" s="166">
        <v>70</v>
      </c>
      <c r="FI43" s="16">
        <v>320</v>
      </c>
      <c r="FK43" s="549"/>
      <c r="FL43" s="134" t="s">
        <v>69</v>
      </c>
      <c r="FM43" s="135"/>
      <c r="FN43" s="136"/>
      <c r="FO43" s="136"/>
      <c r="FP43" s="136"/>
      <c r="FQ43" s="136"/>
      <c r="FR43" s="137"/>
    </row>
    <row r="44" spans="2:176" ht="14.25" thickBot="1">
      <c r="B44" s="105"/>
      <c r="C44" s="484" t="s">
        <v>95</v>
      </c>
      <c r="D44" s="484"/>
      <c r="E44" s="107"/>
      <c r="F44" s="220"/>
      <c r="G44" s="220"/>
      <c r="H44" s="107"/>
      <c r="I44" s="107"/>
      <c r="J44" s="107"/>
      <c r="M44" s="105"/>
      <c r="N44" s="279" t="str">
        <f>CONCATENATE("第",M2,"ターン 第",O2,"運営ラウンド　リベニュー")</f>
        <v>第6ターン 第3運営ラウンド　リベニュー</v>
      </c>
      <c r="O44" s="107"/>
      <c r="P44" s="107"/>
      <c r="Q44" s="107"/>
      <c r="R44" s="107"/>
      <c r="S44" s="107"/>
      <c r="T44" s="107"/>
      <c r="U44" s="107"/>
      <c r="V44" s="107"/>
      <c r="X44" s="105"/>
      <c r="Y44" s="279" t="str">
        <f>CONCATENATE("第",X2,"ターン 第",Z2,"運営ラウンド　リベニュー")</f>
        <v>第6ターン 第2運営ラウンド　リベニュー</v>
      </c>
      <c r="Z44" s="107"/>
      <c r="AA44" s="107"/>
      <c r="AB44" s="107"/>
      <c r="AC44" s="107"/>
      <c r="AD44" s="107"/>
      <c r="AE44" s="107"/>
      <c r="AF44" s="107"/>
      <c r="AG44" s="107"/>
      <c r="AI44" s="105"/>
      <c r="AJ44" s="279" t="str">
        <f>CONCATENATE("第",AI2,"ターン 第",AK2,"運営ラウンド　リベニュー")</f>
        <v>第6ターン 第1運営ラウンド　リベニュー</v>
      </c>
      <c r="AK44" s="107"/>
      <c r="AL44" s="107"/>
      <c r="AM44" s="107"/>
      <c r="AN44" s="107"/>
      <c r="AO44" s="107"/>
      <c r="AP44" s="107"/>
      <c r="AQ44" s="107"/>
      <c r="AR44" s="107"/>
      <c r="AT44" s="105"/>
      <c r="AU44" s="484" t="s">
        <v>95</v>
      </c>
      <c r="AV44" s="484"/>
      <c r="AW44" s="107"/>
      <c r="AX44" s="220"/>
      <c r="AY44" s="220"/>
      <c r="AZ44" s="107"/>
      <c r="BA44" s="107"/>
      <c r="BB44" s="107"/>
      <c r="BE44" s="105"/>
      <c r="BF44" s="279" t="str">
        <f>CONCATENATE("第",BE2,"ターン 第",BG2,"運営ラウンド　リベニュー")</f>
        <v>第5ターン 第2運営ラウンド　リベニュー</v>
      </c>
      <c r="BG44" s="107"/>
      <c r="BH44" s="107"/>
      <c r="BI44" s="107"/>
      <c r="BJ44" s="107"/>
      <c r="BK44" s="107"/>
      <c r="BL44" s="107"/>
      <c r="BM44" s="107"/>
      <c r="BN44" s="107"/>
      <c r="BP44" s="105"/>
      <c r="BQ44" s="279" t="str">
        <f>CONCATENATE("第",BP2,"ターン 第",BR2,"運営ラウンド　リベニュー")</f>
        <v>第5ターン 第1運営ラウンド　リベニュー</v>
      </c>
      <c r="BR44" s="107"/>
      <c r="BS44" s="107"/>
      <c r="BT44" s="107"/>
      <c r="BU44" s="107"/>
      <c r="BV44" s="107"/>
      <c r="BW44" s="107"/>
      <c r="BX44" s="107"/>
      <c r="BY44" s="107"/>
      <c r="CA44" s="105"/>
      <c r="CB44" s="484" t="s">
        <v>95</v>
      </c>
      <c r="CC44" s="484"/>
      <c r="CD44" s="107"/>
      <c r="CE44" s="220"/>
      <c r="CF44" s="220"/>
      <c r="CG44" s="107"/>
      <c r="CH44" s="107"/>
      <c r="CI44" s="107"/>
      <c r="CL44" s="105"/>
      <c r="CM44" s="279" t="str">
        <f>CONCATENATE("第",CL2,"ターン 第",CN2,"運営ラウンド　リベニュー")</f>
        <v>第4ターン 第1運営ラウンド　リベニュー</v>
      </c>
      <c r="CN44" s="107"/>
      <c r="CO44" s="107"/>
      <c r="CP44" s="107"/>
      <c r="CQ44" s="107"/>
      <c r="CR44" s="107"/>
      <c r="CS44" s="107"/>
      <c r="CT44" s="107"/>
      <c r="CU44" s="107"/>
      <c r="CW44" s="105"/>
      <c r="CX44" s="484" t="s">
        <v>95</v>
      </c>
      <c r="CY44" s="484"/>
      <c r="CZ44" s="107"/>
      <c r="DA44" s="220"/>
      <c r="DB44" s="220"/>
      <c r="DC44" s="107"/>
      <c r="DD44" s="107"/>
      <c r="DE44" s="107"/>
      <c r="DH44" s="105"/>
      <c r="DI44" s="279" t="str">
        <f>CONCATENATE("第",DH2,"ターン 第",DJ2,"運営ラウンド　リベニュー")</f>
        <v>第3ターン 第1運営ラウンド　リベニュー</v>
      </c>
      <c r="DJ44" s="107"/>
      <c r="DK44" s="107"/>
      <c r="DL44" s="107"/>
      <c r="DM44" s="107"/>
      <c r="DN44" s="107"/>
      <c r="DO44" s="107"/>
      <c r="DP44" s="107"/>
      <c r="DQ44" s="107"/>
      <c r="DS44" s="105"/>
      <c r="DT44" s="484" t="s">
        <v>95</v>
      </c>
      <c r="DU44" s="484"/>
      <c r="DV44" s="107"/>
      <c r="DW44" s="220"/>
      <c r="DX44" s="220"/>
      <c r="DY44" s="107"/>
      <c r="DZ44" s="107"/>
      <c r="EA44" s="107"/>
      <c r="ED44" s="105"/>
      <c r="EE44" s="279" t="str">
        <f>CONCATENATE("第",ED2,"ターン 第",EF2,"運営ラウンド　リベニュー")</f>
        <v>第2ターン 第1運営ラウンド　リベニュー</v>
      </c>
      <c r="EF44" s="107"/>
      <c r="EG44" s="107"/>
      <c r="EH44" s="107"/>
      <c r="EI44" s="107"/>
      <c r="EJ44" s="107"/>
      <c r="EK44" s="107"/>
      <c r="EL44" s="107"/>
      <c r="EM44" s="107"/>
      <c r="EO44" s="105"/>
      <c r="EP44" s="484" t="s">
        <v>95</v>
      </c>
      <c r="EQ44" s="484"/>
      <c r="ER44" s="107"/>
      <c r="ES44" s="220"/>
      <c r="ET44" s="220"/>
      <c r="EU44" s="107"/>
      <c r="EV44" s="107"/>
      <c r="EW44" s="107"/>
      <c r="EZ44" s="105"/>
      <c r="FA44" s="279" t="str">
        <f>CONCATENATE("第",EZ2,"ターン 第",FB2,"運営ラウンド　リベニュー")</f>
        <v>第1ターン 第1運営ラウンド　リベニュー</v>
      </c>
      <c r="FB44" s="107"/>
      <c r="FC44" s="107"/>
      <c r="FD44" s="107"/>
      <c r="FE44" s="107"/>
      <c r="FF44" s="107"/>
      <c r="FG44" s="107"/>
      <c r="FH44" s="107"/>
      <c r="FI44" s="107"/>
      <c r="FK44" s="105"/>
      <c r="FL44" s="484" t="s">
        <v>95</v>
      </c>
      <c r="FM44" s="484"/>
      <c r="FN44" s="107"/>
      <c r="FO44" s="220"/>
      <c r="FP44" s="220"/>
      <c r="FQ44" s="107"/>
      <c r="FR44" s="107"/>
      <c r="FS44" s="107"/>
      <c r="FT44" s="108"/>
    </row>
    <row r="45" spans="3:174" ht="13.5" customHeight="1" thickBot="1">
      <c r="C45" s="104" t="s">
        <v>37</v>
      </c>
      <c r="D45" s="23" t="s">
        <v>38</v>
      </c>
      <c r="E45" s="23" t="s">
        <v>92</v>
      </c>
      <c r="F45" s="261" t="s">
        <v>91</v>
      </c>
      <c r="G45" s="239" t="s">
        <v>85</v>
      </c>
      <c r="H45" s="487" t="s">
        <v>86</v>
      </c>
      <c r="I45" s="446"/>
      <c r="AU45" s="104" t="s">
        <v>37</v>
      </c>
      <c r="AV45" s="23" t="s">
        <v>38</v>
      </c>
      <c r="AW45" s="23" t="s">
        <v>92</v>
      </c>
      <c r="AX45" s="261" t="s">
        <v>91</v>
      </c>
      <c r="AY45" s="239" t="s">
        <v>85</v>
      </c>
      <c r="AZ45" s="487" t="s">
        <v>86</v>
      </c>
      <c r="BA45" s="446"/>
      <c r="CB45" s="104" t="s">
        <v>37</v>
      </c>
      <c r="CC45" s="23" t="s">
        <v>38</v>
      </c>
      <c r="CD45" s="23" t="s">
        <v>92</v>
      </c>
      <c r="CE45" s="261" t="s">
        <v>91</v>
      </c>
      <c r="CF45" s="239" t="s">
        <v>85</v>
      </c>
      <c r="CG45" s="487" t="s">
        <v>86</v>
      </c>
      <c r="CH45" s="446"/>
      <c r="CX45" s="104" t="s">
        <v>37</v>
      </c>
      <c r="CY45" s="23" t="s">
        <v>38</v>
      </c>
      <c r="CZ45" s="23" t="s">
        <v>92</v>
      </c>
      <c r="DA45" s="261" t="s">
        <v>91</v>
      </c>
      <c r="DB45" s="239" t="s">
        <v>85</v>
      </c>
      <c r="DC45" s="487" t="s">
        <v>86</v>
      </c>
      <c r="DD45" s="446"/>
      <c r="DT45" s="104" t="s">
        <v>37</v>
      </c>
      <c r="DU45" s="23" t="s">
        <v>38</v>
      </c>
      <c r="DV45" s="23" t="s">
        <v>92</v>
      </c>
      <c r="DW45" s="261" t="s">
        <v>91</v>
      </c>
      <c r="DX45" s="239" t="s">
        <v>85</v>
      </c>
      <c r="DY45" s="487" t="s">
        <v>86</v>
      </c>
      <c r="DZ45" s="446"/>
      <c r="EP45" s="104" t="s">
        <v>37</v>
      </c>
      <c r="EQ45" s="23" t="s">
        <v>38</v>
      </c>
      <c r="ER45" s="23" t="s">
        <v>92</v>
      </c>
      <c r="ES45" s="261" t="s">
        <v>91</v>
      </c>
      <c r="ET45" s="239" t="s">
        <v>85</v>
      </c>
      <c r="EU45" s="487" t="s">
        <v>86</v>
      </c>
      <c r="EV45" s="446"/>
      <c r="FL45" s="104" t="s">
        <v>37</v>
      </c>
      <c r="FM45" s="23" t="s">
        <v>38</v>
      </c>
      <c r="FN45" s="23" t="s">
        <v>92</v>
      </c>
      <c r="FO45" s="261" t="s">
        <v>91</v>
      </c>
      <c r="FP45" s="239" t="s">
        <v>85</v>
      </c>
      <c r="FQ45" s="487" t="s">
        <v>86</v>
      </c>
      <c r="FR45" s="446"/>
    </row>
    <row r="46" spans="3:174" ht="13.5">
      <c r="C46" s="242"/>
      <c r="D46" s="235"/>
      <c r="E46" s="89"/>
      <c r="F46" s="89"/>
      <c r="G46" s="89"/>
      <c r="H46" s="18">
        <f aca="true" t="shared" si="211" ref="H46:H85">-E46*F46</f>
        <v>0</v>
      </c>
      <c r="N46" s="1" t="str">
        <f>CONCATENATE("近鉄　",V28,"/-")</f>
        <v>近鉄　100/-</v>
      </c>
      <c r="Y46" s="1" t="str">
        <f>CONCATENATE("近鉄　",AG28,"/-")</f>
        <v>近鉄　90/-</v>
      </c>
      <c r="AJ46" s="1" t="str">
        <f>CONCATENATE("近鉄　",AR28,"/-")</f>
        <v>近鉄　100/-</v>
      </c>
      <c r="AU46" s="242" t="s">
        <v>131</v>
      </c>
      <c r="AV46" s="235" t="s">
        <v>83</v>
      </c>
      <c r="AW46" s="89">
        <v>1</v>
      </c>
      <c r="AX46" s="89">
        <v>35</v>
      </c>
      <c r="AY46" s="89">
        <v>35</v>
      </c>
      <c r="AZ46" s="18">
        <f aca="true" t="shared" si="212" ref="AZ46:AZ85">-AW46*AX46</f>
        <v>-35</v>
      </c>
      <c r="BF46" s="1" t="str">
        <f>CONCATENATE("近鉄　",BN28,"/-")</f>
        <v>近鉄　110/-</v>
      </c>
      <c r="BQ46" s="1" t="str">
        <f>CONCATENATE("近鉄　",BY28,"/-")</f>
        <v>近鉄　110/-</v>
      </c>
      <c r="CB46" s="242" t="s">
        <v>208</v>
      </c>
      <c r="CC46" s="235" t="s">
        <v>196</v>
      </c>
      <c r="CD46" s="89">
        <v>2</v>
      </c>
      <c r="CE46" s="89">
        <v>100</v>
      </c>
      <c r="CF46" s="89">
        <v>100</v>
      </c>
      <c r="CG46" s="18">
        <f aca="true" t="shared" si="213" ref="CG46:CG85">-CD46*CE46</f>
        <v>-200</v>
      </c>
      <c r="CM46" s="1" t="str">
        <f>CONCATENATE("地下　",CU33,"/100")</f>
        <v>地下　100/100</v>
      </c>
      <c r="CX46" s="242" t="s">
        <v>195</v>
      </c>
      <c r="CY46" s="235" t="s">
        <v>196</v>
      </c>
      <c r="CZ46" s="89">
        <v>-3</v>
      </c>
      <c r="DA46" s="89">
        <v>100</v>
      </c>
      <c r="DB46" s="89">
        <v>75</v>
      </c>
      <c r="DC46" s="18">
        <f aca="true" t="shared" si="214" ref="DC46:DC85">-CZ46*DA46</f>
        <v>300</v>
      </c>
      <c r="DI46" s="1" t="str">
        <f>CONCATENATE("地下　",DQ33,"/100")</f>
        <v>地下　100/100</v>
      </c>
      <c r="DT46" s="242" t="s">
        <v>200</v>
      </c>
      <c r="DU46" s="235" t="s">
        <v>196</v>
      </c>
      <c r="DV46" s="89">
        <v>1</v>
      </c>
      <c r="DW46" s="89">
        <v>100</v>
      </c>
      <c r="DX46" s="89">
        <v>100</v>
      </c>
      <c r="DY46" s="18">
        <f aca="true" t="shared" si="215" ref="DY46:DY85">-DV46*DW46</f>
        <v>-100</v>
      </c>
      <c r="EE46" s="1" t="str">
        <f>CONCATENATE("地下　",EM33,"/100")</f>
        <v>地下　100/100</v>
      </c>
      <c r="EP46" s="242"/>
      <c r="EQ46" s="235" t="s">
        <v>199</v>
      </c>
      <c r="ER46" s="89">
        <v>1</v>
      </c>
      <c r="ES46" s="89">
        <v>280</v>
      </c>
      <c r="ET46" s="89"/>
      <c r="EU46" s="18">
        <f aca="true" t="shared" si="216" ref="EU46:EU85">-ER46*ES46</f>
        <v>-280</v>
      </c>
      <c r="FA46" s="1" t="str">
        <f>CONCATENATE("地下　",FI33,"/100")</f>
        <v>地下　100/100</v>
      </c>
      <c r="FL46" s="234" t="s">
        <v>88</v>
      </c>
      <c r="FM46" s="235" t="s">
        <v>83</v>
      </c>
      <c r="FN46" s="250">
        <v>1</v>
      </c>
      <c r="FO46" s="128"/>
      <c r="FP46" s="128"/>
      <c r="FQ46" s="240"/>
      <c r="FR46" s="482" t="s">
        <v>87</v>
      </c>
    </row>
    <row r="47" spans="3:174" ht="13.5">
      <c r="C47" s="243"/>
      <c r="D47" s="224"/>
      <c r="E47" s="92"/>
      <c r="F47" s="92"/>
      <c r="G47" s="92"/>
      <c r="H47" s="18">
        <f t="shared" si="211"/>
        <v>0</v>
      </c>
      <c r="N47" s="1" t="str">
        <f>CONCATENATE("山陽　",V36,"/100")</f>
        <v>山陽　75/100</v>
      </c>
      <c r="Y47" s="1" t="str">
        <f>CONCATENATE("山陽　",AG36,"/100")</f>
        <v>山陽　80/100</v>
      </c>
      <c r="AJ47" s="1" t="str">
        <f>CONCATENATE("ＪＲ　　",AR27,"/100")</f>
        <v>ＪＲ　　75/100</v>
      </c>
      <c r="AU47" s="243" t="s">
        <v>195</v>
      </c>
      <c r="AV47" s="224" t="s">
        <v>196</v>
      </c>
      <c r="AW47" s="92">
        <v>1</v>
      </c>
      <c r="AX47" s="92">
        <v>60</v>
      </c>
      <c r="AY47" s="92">
        <v>60</v>
      </c>
      <c r="AZ47" s="18">
        <f t="shared" si="212"/>
        <v>-60</v>
      </c>
      <c r="BF47" s="1" t="str">
        <f>CONCATENATE("ＪＲ　　",BN27,"/100")</f>
        <v>ＪＲ　　110/100</v>
      </c>
      <c r="BQ47" s="1" t="str">
        <f>CONCATENATE("南海　",BY34,"/100")</f>
        <v>南海　90/100</v>
      </c>
      <c r="CB47" s="243" t="s">
        <v>209</v>
      </c>
      <c r="CC47" s="224" t="s">
        <v>199</v>
      </c>
      <c r="CD47" s="92">
        <v>2</v>
      </c>
      <c r="CE47" s="92">
        <v>100</v>
      </c>
      <c r="CF47" s="92">
        <v>100</v>
      </c>
      <c r="CG47" s="18">
        <f t="shared" si="213"/>
        <v>-200</v>
      </c>
      <c r="CM47" s="1" t="str">
        <f>CONCATENATE("近鉄　",CU28,"/100")</f>
        <v>近鉄　100/100</v>
      </c>
      <c r="CX47" s="243"/>
      <c r="CY47" s="224" t="s">
        <v>196</v>
      </c>
      <c r="CZ47" s="92">
        <v>1</v>
      </c>
      <c r="DA47" s="92">
        <v>320</v>
      </c>
      <c r="DB47" s="92"/>
      <c r="DC47" s="18">
        <f t="shared" si="214"/>
        <v>-320</v>
      </c>
      <c r="DI47" s="1" t="str">
        <f>CONCATENATE("近鉄　",DQ28,"/100")</f>
        <v>近鉄　100/100</v>
      </c>
      <c r="DT47" s="243" t="s">
        <v>131</v>
      </c>
      <c r="DU47" s="224" t="s">
        <v>199</v>
      </c>
      <c r="DV47" s="92">
        <v>1</v>
      </c>
      <c r="DW47" s="92">
        <v>80</v>
      </c>
      <c r="DX47" s="92">
        <v>80</v>
      </c>
      <c r="DY47" s="18">
        <f t="shared" si="215"/>
        <v>-80</v>
      </c>
      <c r="EE47" s="1" t="str">
        <f>CONCATENATE("近鉄　",EM28,"/100")</f>
        <v>近鉄　100/100</v>
      </c>
      <c r="EP47" s="243" t="s">
        <v>131</v>
      </c>
      <c r="EQ47" s="224" t="s">
        <v>83</v>
      </c>
      <c r="ER47" s="92">
        <v>1</v>
      </c>
      <c r="ES47" s="92">
        <v>80</v>
      </c>
      <c r="ET47" s="92">
        <v>75</v>
      </c>
      <c r="EU47" s="18">
        <f t="shared" si="216"/>
        <v>-80</v>
      </c>
      <c r="FA47" s="1" t="str">
        <f>CONCATENATE("近鉄　",FI28,"/100")</f>
        <v>近鉄　100/100</v>
      </c>
      <c r="FL47" s="236" t="s">
        <v>47</v>
      </c>
      <c r="FM47" s="224" t="s">
        <v>196</v>
      </c>
      <c r="FN47" s="251">
        <v>1</v>
      </c>
      <c r="FO47" s="132"/>
      <c r="FP47" s="132"/>
      <c r="FQ47" s="158"/>
      <c r="FR47" s="507"/>
    </row>
    <row r="48" spans="3:174" ht="13.5">
      <c r="C48" s="243"/>
      <c r="D48" s="224"/>
      <c r="E48" s="92"/>
      <c r="F48" s="92"/>
      <c r="G48" s="92"/>
      <c r="H48" s="18">
        <f t="shared" si="211"/>
        <v>0</v>
      </c>
      <c r="N48" s="1" t="str">
        <f>CONCATENATE("南海　",V34,"/100")</f>
        <v>南海　75/100</v>
      </c>
      <c r="Y48" s="1" t="str">
        <f>CONCATENATE("ＪＲ　　",AG27,"/100")</f>
        <v>ＪＲ　　70/100</v>
      </c>
      <c r="AJ48" s="1" t="str">
        <f>CONCATENATE("山陽　",AR36,"/100")</f>
        <v>山陽　90/100</v>
      </c>
      <c r="AU48" s="243" t="s">
        <v>200</v>
      </c>
      <c r="AV48" s="224" t="s">
        <v>199</v>
      </c>
      <c r="AW48" s="92">
        <v>-1</v>
      </c>
      <c r="AX48" s="92">
        <v>110</v>
      </c>
      <c r="AY48" s="92">
        <v>100</v>
      </c>
      <c r="AZ48" s="18">
        <f t="shared" si="212"/>
        <v>110</v>
      </c>
      <c r="BF48" s="1" t="str">
        <f>CONCATENATE("南海　",BN34,"/100")</f>
        <v>南海　100/100</v>
      </c>
      <c r="BQ48" s="1" t="str">
        <f>CONCATENATE("山陽　",BY36,"/100")</f>
        <v>山陽　90/100</v>
      </c>
      <c r="CB48" s="243" t="s">
        <v>200</v>
      </c>
      <c r="CC48" s="224" t="s">
        <v>83</v>
      </c>
      <c r="CD48" s="92">
        <v>1</v>
      </c>
      <c r="CE48" s="92">
        <v>100</v>
      </c>
      <c r="CF48" s="92">
        <v>100</v>
      </c>
      <c r="CG48" s="18">
        <f t="shared" si="213"/>
        <v>-100</v>
      </c>
      <c r="CM48" s="1" t="str">
        <f>CONCATENATE("ＪＲ　　",CU27,"/100")</f>
        <v>ＪＲ　　90/100</v>
      </c>
      <c r="CX48" s="243" t="s">
        <v>131</v>
      </c>
      <c r="CY48" s="224" t="s">
        <v>199</v>
      </c>
      <c r="CZ48" s="92">
        <v>-1</v>
      </c>
      <c r="DA48" s="92">
        <v>90</v>
      </c>
      <c r="DB48" s="92">
        <v>80</v>
      </c>
      <c r="DC48" s="18">
        <f t="shared" si="214"/>
        <v>90</v>
      </c>
      <c r="DI48" s="1" t="str">
        <f>CONCATENATE("京阪　",DQ32,"/90")</f>
        <v>京阪　100/90</v>
      </c>
      <c r="DT48" s="243" t="s">
        <v>195</v>
      </c>
      <c r="DU48" s="224" t="s">
        <v>83</v>
      </c>
      <c r="DV48" s="92">
        <v>1</v>
      </c>
      <c r="DW48" s="92">
        <v>90</v>
      </c>
      <c r="DX48" s="92">
        <v>90</v>
      </c>
      <c r="DY48" s="18">
        <f t="shared" si="215"/>
        <v>-90</v>
      </c>
      <c r="EE48" s="1" t="str">
        <f>CONCATENATE("京阪　",EM32,"/90")</f>
        <v>京阪　90/90</v>
      </c>
      <c r="EP48" s="243"/>
      <c r="EQ48" s="224"/>
      <c r="ER48" s="92"/>
      <c r="ES48" s="92"/>
      <c r="ET48" s="92"/>
      <c r="EU48" s="18">
        <f t="shared" si="216"/>
        <v>0</v>
      </c>
      <c r="FA48" s="1" t="str">
        <f>CONCATENATE("京阪　",FI32,"/90")</f>
        <v>京阪　80/90</v>
      </c>
      <c r="FL48" s="236" t="s">
        <v>50</v>
      </c>
      <c r="FM48" s="224" t="s">
        <v>196</v>
      </c>
      <c r="FN48" s="132"/>
      <c r="FO48" s="132"/>
      <c r="FP48" s="92">
        <v>100</v>
      </c>
      <c r="FQ48" s="158"/>
      <c r="FR48" s="507"/>
    </row>
    <row r="49" spans="3:174" ht="14.25" thickBot="1">
      <c r="C49" s="243"/>
      <c r="D49" s="224"/>
      <c r="E49" s="92"/>
      <c r="F49" s="92"/>
      <c r="G49" s="92"/>
      <c r="H49" s="18">
        <f t="shared" si="211"/>
        <v>0</v>
      </c>
      <c r="N49" s="1" t="str">
        <f>CONCATENATE("ＪＲ　　",V27,"/100")</f>
        <v>ＪＲ　　75/100</v>
      </c>
      <c r="Y49" s="1" t="str">
        <f>CONCATENATE("地下　",AG33,"/100")</f>
        <v>地下　70/100</v>
      </c>
      <c r="AJ49" s="1" t="str">
        <f>CONCATENATE("地下　",AR33,"/100")</f>
        <v>地下　75/100</v>
      </c>
      <c r="AU49" s="243"/>
      <c r="AV49" s="224" t="s">
        <v>199</v>
      </c>
      <c r="AW49" s="92">
        <v>1</v>
      </c>
      <c r="AX49" s="92">
        <v>240</v>
      </c>
      <c r="AY49" s="92">
        <v>240</v>
      </c>
      <c r="AZ49" s="18">
        <f t="shared" si="212"/>
        <v>-240</v>
      </c>
      <c r="BF49" s="1" t="str">
        <f>CONCATENATE("山陽　",BN36,"/100")</f>
        <v>山陽　100/100</v>
      </c>
      <c r="BQ49" s="1" t="str">
        <f>CONCATENATE("ＪＲ　　",BY27,"/100")</f>
        <v>ＪＲ　　100/100</v>
      </c>
      <c r="CB49" s="243" t="s">
        <v>208</v>
      </c>
      <c r="CC49" s="224" t="s">
        <v>196</v>
      </c>
      <c r="CD49" s="92">
        <v>1</v>
      </c>
      <c r="CE49" s="92">
        <v>100</v>
      </c>
      <c r="CF49" s="92">
        <v>100</v>
      </c>
      <c r="CG49" s="18">
        <f t="shared" si="213"/>
        <v>-100</v>
      </c>
      <c r="CM49" s="1" t="str">
        <f>CONCATENATE("京阪　",CU32,"/90")</f>
        <v>京阪　70/90</v>
      </c>
      <c r="CX49" s="243" t="s">
        <v>201</v>
      </c>
      <c r="CY49" s="224" t="s">
        <v>199</v>
      </c>
      <c r="CZ49" s="92">
        <v>2</v>
      </c>
      <c r="DA49" s="92">
        <v>65</v>
      </c>
      <c r="DB49" s="92">
        <v>65</v>
      </c>
      <c r="DC49" s="18">
        <f t="shared" si="214"/>
        <v>-130</v>
      </c>
      <c r="DI49" s="1" t="str">
        <f>CONCATENATE("阪神　",DQ31,"/80")</f>
        <v>阪神　90/80</v>
      </c>
      <c r="DT49" s="243"/>
      <c r="DU49" s="224"/>
      <c r="DV49" s="92"/>
      <c r="DW49" s="92"/>
      <c r="DX49" s="92"/>
      <c r="DY49" s="18">
        <f t="shared" si="215"/>
        <v>0</v>
      </c>
      <c r="EE49" s="1" t="str">
        <f>CONCATENATE("阪神　",EM31,"/80")</f>
        <v>阪神　80/80</v>
      </c>
      <c r="EP49" s="243"/>
      <c r="EQ49" s="224"/>
      <c r="ER49" s="92"/>
      <c r="ES49" s="92"/>
      <c r="ET49" s="92"/>
      <c r="EU49" s="18">
        <f t="shared" si="216"/>
        <v>0</v>
      </c>
      <c r="FA49" s="1" t="str">
        <f>CONCATENATE("阪神　",FI31,"/80")</f>
        <v>阪神　75/80</v>
      </c>
      <c r="FL49" s="237" t="s">
        <v>49</v>
      </c>
      <c r="FM49" s="238" t="s">
        <v>83</v>
      </c>
      <c r="FN49" s="249">
        <v>3</v>
      </c>
      <c r="FO49" s="136"/>
      <c r="FP49" s="95">
        <v>100</v>
      </c>
      <c r="FQ49" s="241"/>
      <c r="FR49" s="508"/>
    </row>
    <row r="50" spans="3:173" ht="13.5" customHeight="1">
      <c r="C50" s="243"/>
      <c r="D50" s="224"/>
      <c r="E50" s="92"/>
      <c r="F50" s="92"/>
      <c r="G50" s="92"/>
      <c r="H50" s="18">
        <f t="shared" si="211"/>
        <v>0</v>
      </c>
      <c r="N50" s="1" t="str">
        <f>CONCATENATE("地下　",V33,"/100")</f>
        <v>地下　75/100</v>
      </c>
      <c r="Y50" s="1" t="str">
        <f>CONCATENATE("南海　",AG34,"/100")</f>
        <v>南海　70/100</v>
      </c>
      <c r="AJ50" s="1" t="str">
        <f>CONCATENATE("南海　",AR34,"/100")</f>
        <v>南海　65/100</v>
      </c>
      <c r="AU50" s="243" t="s">
        <v>131</v>
      </c>
      <c r="AV50" s="224" t="s">
        <v>83</v>
      </c>
      <c r="AW50" s="92">
        <v>1</v>
      </c>
      <c r="AX50" s="92">
        <v>35</v>
      </c>
      <c r="AY50" s="92">
        <v>35</v>
      </c>
      <c r="AZ50" s="18">
        <f t="shared" si="212"/>
        <v>-35</v>
      </c>
      <c r="BF50" s="1" t="str">
        <f>CONCATENATE("地下　",BN33,"/100")</f>
        <v>地下　80/100</v>
      </c>
      <c r="BQ50" s="1" t="str">
        <f>CONCATENATE("地下　",BY33,"/100")</f>
        <v>地下　75/100</v>
      </c>
      <c r="CB50" s="243" t="s">
        <v>201</v>
      </c>
      <c r="CC50" s="224" t="s">
        <v>199</v>
      </c>
      <c r="CD50" s="92">
        <v>-3</v>
      </c>
      <c r="CE50" s="92">
        <v>60</v>
      </c>
      <c r="CF50" s="92">
        <v>45</v>
      </c>
      <c r="CG50" s="18">
        <f t="shared" si="213"/>
        <v>180</v>
      </c>
      <c r="CM50" s="1" t="str">
        <f>CONCATENATE("阪神　",CU31,"/80")</f>
        <v>阪神　60/80</v>
      </c>
      <c r="CX50" s="243" t="s">
        <v>200</v>
      </c>
      <c r="CY50" s="224" t="s">
        <v>83</v>
      </c>
      <c r="CZ50" s="92">
        <v>1</v>
      </c>
      <c r="DA50" s="92">
        <v>100</v>
      </c>
      <c r="DB50" s="92">
        <v>100</v>
      </c>
      <c r="DC50" s="18">
        <f t="shared" si="214"/>
        <v>-100</v>
      </c>
      <c r="DI50" s="1" t="str">
        <f>CONCATENATE("ＪＲ　　",DQ27,"/100")</f>
        <v>ＪＲ　　0/100</v>
      </c>
      <c r="DT50" s="243"/>
      <c r="DU50" s="224"/>
      <c r="DV50" s="92"/>
      <c r="DW50" s="92"/>
      <c r="DX50" s="92"/>
      <c r="DY50" s="18">
        <f t="shared" si="215"/>
        <v>0</v>
      </c>
      <c r="EE50" s="1" t="str">
        <f>CONCATENATE("ＪＲ　　",EM27,"/100")</f>
        <v>ＪＲ　　0/100</v>
      </c>
      <c r="EP50" s="243"/>
      <c r="EQ50" s="224"/>
      <c r="ER50" s="92"/>
      <c r="ES50" s="92"/>
      <c r="ET50" s="92"/>
      <c r="EU50" s="18">
        <f t="shared" si="216"/>
        <v>0</v>
      </c>
      <c r="FA50" s="1" t="str">
        <f>CONCATENATE("ＪＲ　　",FI27,"/100")</f>
        <v>ＪＲ　　0/100</v>
      </c>
      <c r="FJ50" s="108"/>
      <c r="FL50" s="242" t="s">
        <v>131</v>
      </c>
      <c r="FM50" s="235" t="s">
        <v>83</v>
      </c>
      <c r="FN50" s="89">
        <v>2</v>
      </c>
      <c r="FO50" s="89">
        <v>80</v>
      </c>
      <c r="FP50" s="89">
        <v>80</v>
      </c>
      <c r="FQ50" s="27">
        <f aca="true" t="shared" si="217" ref="FQ50:FQ55">-FN50*FO50</f>
        <v>-160</v>
      </c>
    </row>
    <row r="51" spans="3:174" ht="13.5">
      <c r="C51" s="243"/>
      <c r="D51" s="224"/>
      <c r="E51" s="92"/>
      <c r="F51" s="92"/>
      <c r="G51" s="92"/>
      <c r="H51" s="18">
        <f t="shared" si="211"/>
        <v>0</v>
      </c>
      <c r="N51" s="1" t="str">
        <f>CONCATENATE("阪急　",V35,"/65")</f>
        <v>阪急　40/65</v>
      </c>
      <c r="Y51" s="1" t="str">
        <f>CONCATENATE("京阪　",AG32,"/90")</f>
        <v>京阪　30/90</v>
      </c>
      <c r="AJ51" s="1" t="str">
        <f>CONCATENATE("京阪　",AR32,"/90")</f>
        <v>京阪　35/90</v>
      </c>
      <c r="AU51" s="243" t="s">
        <v>131</v>
      </c>
      <c r="AV51" s="224" t="s">
        <v>196</v>
      </c>
      <c r="AW51" s="92">
        <v>1</v>
      </c>
      <c r="AX51" s="92">
        <v>35</v>
      </c>
      <c r="AY51" s="92">
        <v>35</v>
      </c>
      <c r="AZ51" s="18">
        <f t="shared" si="212"/>
        <v>-35</v>
      </c>
      <c r="BF51" s="1" t="str">
        <f>CONCATENATE("京阪　",BN32,"/90")</f>
        <v>京阪　60/90</v>
      </c>
      <c r="BQ51" s="1" t="str">
        <f>CONCATENATE("京阪　",BY32,"/90")</f>
        <v>京阪　65/90</v>
      </c>
      <c r="CB51" s="243" t="s">
        <v>209</v>
      </c>
      <c r="CC51" s="224" t="s">
        <v>199</v>
      </c>
      <c r="CD51" s="92">
        <v>1</v>
      </c>
      <c r="CE51" s="92">
        <v>100</v>
      </c>
      <c r="CF51" s="92">
        <v>100</v>
      </c>
      <c r="CG51" s="18">
        <f t="shared" si="213"/>
        <v>-100</v>
      </c>
      <c r="CM51" s="1" t="str">
        <f>CONCATENATE("阪急　",CU35,"/65")</f>
        <v>阪急　60/65</v>
      </c>
      <c r="CX51" s="243" t="s">
        <v>200</v>
      </c>
      <c r="CY51" s="224" t="s">
        <v>196</v>
      </c>
      <c r="CZ51" s="92">
        <v>1</v>
      </c>
      <c r="DA51" s="92">
        <v>100</v>
      </c>
      <c r="DB51" s="92">
        <v>100</v>
      </c>
      <c r="DC51" s="18">
        <f t="shared" si="214"/>
        <v>-100</v>
      </c>
      <c r="DI51" s="1" t="str">
        <f>CONCATENATE("南海　",DQ34,"/?")</f>
        <v>南海　0/?</v>
      </c>
      <c r="DT51" s="243"/>
      <c r="DU51" s="224"/>
      <c r="DV51" s="92"/>
      <c r="DW51" s="92"/>
      <c r="DX51" s="92"/>
      <c r="DY51" s="18">
        <f t="shared" si="215"/>
        <v>0</v>
      </c>
      <c r="EE51" s="1" t="str">
        <f>CONCATENATE("南海　",EM34,"/?")</f>
        <v>南海　0/?</v>
      </c>
      <c r="EP51" s="243"/>
      <c r="EQ51" s="224"/>
      <c r="ER51" s="92"/>
      <c r="ES51" s="92"/>
      <c r="ET51" s="92"/>
      <c r="EU51" s="18">
        <f t="shared" si="216"/>
        <v>0</v>
      </c>
      <c r="FA51" s="1" t="str">
        <f>CONCATENATE("南海　",FI34,"/?")</f>
        <v>南海　0/?</v>
      </c>
      <c r="FL51" s="243" t="s">
        <v>195</v>
      </c>
      <c r="FM51" s="224" t="s">
        <v>196</v>
      </c>
      <c r="FN51" s="92">
        <v>2</v>
      </c>
      <c r="FO51" s="92">
        <v>90</v>
      </c>
      <c r="FP51" s="92">
        <v>90</v>
      </c>
      <c r="FQ51" s="18">
        <f t="shared" si="217"/>
        <v>-180</v>
      </c>
      <c r="FR51" s="263"/>
    </row>
    <row r="52" spans="3:174" ht="13.5">
      <c r="C52" s="243"/>
      <c r="D52" s="224"/>
      <c r="E52" s="92"/>
      <c r="F52" s="92"/>
      <c r="G52" s="92"/>
      <c r="H52" s="18">
        <f t="shared" si="211"/>
        <v>0</v>
      </c>
      <c r="N52" s="1" t="str">
        <f>CONCATENATE("京阪　",V32,"/90")</f>
        <v>京阪　35/90</v>
      </c>
      <c r="P52"/>
      <c r="Y52" s="1" t="str">
        <f>CONCATENATE("阪急　",AG35,"/65")</f>
        <v>阪急　35/65</v>
      </c>
      <c r="AA52"/>
      <c r="AJ52" s="1" t="str">
        <f>CONCATENATE("阪急　",AR35,"/65")</f>
        <v>阪急　30/65</v>
      </c>
      <c r="AU52" s="243" t="s">
        <v>131</v>
      </c>
      <c r="AV52" s="224" t="s">
        <v>199</v>
      </c>
      <c r="AW52" s="92">
        <v>1</v>
      </c>
      <c r="AX52" s="92">
        <v>35</v>
      </c>
      <c r="AY52" s="92">
        <v>35</v>
      </c>
      <c r="AZ52" s="18">
        <f t="shared" si="212"/>
        <v>-35</v>
      </c>
      <c r="BF52" s="1" t="str">
        <f>CONCATENATE("阪急　",BN35,"/65")</f>
        <v>阪急　40/65</v>
      </c>
      <c r="BQ52" s="1" t="str">
        <f>CONCATENATE("阪神　",BY31,"/80")</f>
        <v>阪神　40/80</v>
      </c>
      <c r="CB52" s="243" t="s">
        <v>131</v>
      </c>
      <c r="CC52" s="224" t="s">
        <v>83</v>
      </c>
      <c r="CD52" s="92">
        <v>1</v>
      </c>
      <c r="CE52" s="92">
        <v>60</v>
      </c>
      <c r="CF52" s="92">
        <v>60</v>
      </c>
      <c r="CG52" s="18">
        <f t="shared" si="213"/>
        <v>-60</v>
      </c>
      <c r="CM52" s="1" t="str">
        <f>CONCATENATE("南海　",CU34,"/?")</f>
        <v>南海　0/?</v>
      </c>
      <c r="CX52" s="243" t="s">
        <v>200</v>
      </c>
      <c r="CY52" s="224" t="s">
        <v>199</v>
      </c>
      <c r="CZ52" s="92">
        <v>1</v>
      </c>
      <c r="DA52" s="92">
        <v>100</v>
      </c>
      <c r="DB52" s="92">
        <v>100</v>
      </c>
      <c r="DC52" s="18">
        <f t="shared" si="214"/>
        <v>-100</v>
      </c>
      <c r="DI52" s="1" t="str">
        <f>CONCATENATE("阪急　",DQ35,"/?")</f>
        <v>阪急　0/?</v>
      </c>
      <c r="DT52" s="243"/>
      <c r="DU52" s="224"/>
      <c r="DV52" s="92"/>
      <c r="DW52" s="92"/>
      <c r="DX52" s="92"/>
      <c r="DY52" s="18">
        <f t="shared" si="215"/>
        <v>0</v>
      </c>
      <c r="EE52" s="1" t="str">
        <f>CONCATENATE("阪急　",EM35,"/?")</f>
        <v>阪急　0/?</v>
      </c>
      <c r="EP52" s="243"/>
      <c r="EQ52" s="224"/>
      <c r="ER52" s="92"/>
      <c r="ES52" s="92"/>
      <c r="ET52" s="92"/>
      <c r="EU52" s="18">
        <f t="shared" si="216"/>
        <v>0</v>
      </c>
      <c r="FA52" s="1" t="str">
        <f>CONCATENATE("阪急　",FI35,"/?")</f>
        <v>阪急　0/?</v>
      </c>
      <c r="FL52" s="243" t="s">
        <v>131</v>
      </c>
      <c r="FM52" s="224" t="s">
        <v>83</v>
      </c>
      <c r="FN52" s="92">
        <v>1</v>
      </c>
      <c r="FO52" s="92">
        <v>80</v>
      </c>
      <c r="FP52" s="92">
        <v>80</v>
      </c>
      <c r="FQ52" s="18">
        <f t="shared" si="217"/>
        <v>-80</v>
      </c>
      <c r="FR52" s="263"/>
    </row>
    <row r="53" spans="3:174" ht="13.5">
      <c r="C53" s="243"/>
      <c r="D53" s="224"/>
      <c r="E53" s="92"/>
      <c r="F53" s="92"/>
      <c r="G53" s="92"/>
      <c r="H53" s="18">
        <f t="shared" si="211"/>
        <v>0</v>
      </c>
      <c r="AJ53" s="1" t="str">
        <f>CONCATENATE("阪神　",AR31,"/80")</f>
        <v>阪神　0/80</v>
      </c>
      <c r="AU53" s="243" t="s">
        <v>209</v>
      </c>
      <c r="AV53" s="224" t="s">
        <v>83</v>
      </c>
      <c r="AW53" s="92">
        <v>1</v>
      </c>
      <c r="AX53" s="92">
        <v>100</v>
      </c>
      <c r="AY53" s="92">
        <v>100</v>
      </c>
      <c r="AZ53" s="18">
        <f t="shared" si="212"/>
        <v>-100</v>
      </c>
      <c r="BF53" s="1" t="str">
        <f>CONCATENATE("阪神　",BN31,"/80")</f>
        <v>阪神　35/80</v>
      </c>
      <c r="BQ53" s="1" t="str">
        <f>CONCATENATE("阪急　",BY35,"/65")</f>
        <v>阪急　45/65</v>
      </c>
      <c r="CB53" s="243" t="s">
        <v>210</v>
      </c>
      <c r="CC53" s="224" t="s">
        <v>196</v>
      </c>
      <c r="CD53" s="92">
        <v>1</v>
      </c>
      <c r="CE53" s="92">
        <v>100</v>
      </c>
      <c r="CF53" s="92">
        <v>100</v>
      </c>
      <c r="CG53" s="18">
        <f t="shared" si="213"/>
        <v>-100</v>
      </c>
      <c r="CM53" s="1" t="str">
        <f>CONCATENATE("山陽　",CU36,"/?")</f>
        <v>山陽　0/?</v>
      </c>
      <c r="CX53" s="243" t="s">
        <v>195</v>
      </c>
      <c r="CY53" s="224" t="s">
        <v>83</v>
      </c>
      <c r="CZ53" s="92">
        <v>1</v>
      </c>
      <c r="DA53" s="92">
        <v>75</v>
      </c>
      <c r="DB53" s="92">
        <v>75</v>
      </c>
      <c r="DC53" s="18">
        <f t="shared" si="214"/>
        <v>-75</v>
      </c>
      <c r="DI53" s="1" t="str">
        <f>CONCATENATE("山陽　",DQ36,"/?")</f>
        <v>山陽　0/?</v>
      </c>
      <c r="DT53" s="243"/>
      <c r="DU53" s="224"/>
      <c r="DV53" s="92"/>
      <c r="DW53" s="92"/>
      <c r="DX53" s="92"/>
      <c r="DY53" s="18">
        <f t="shared" si="215"/>
        <v>0</v>
      </c>
      <c r="EE53" s="1" t="str">
        <f>CONCATENATE("山陽　",EM36,"/?")</f>
        <v>山陽　0/?</v>
      </c>
      <c r="EP53" s="243"/>
      <c r="EQ53" s="224"/>
      <c r="ER53" s="92"/>
      <c r="ES53" s="92"/>
      <c r="ET53" s="92"/>
      <c r="EU53" s="18">
        <f t="shared" si="216"/>
        <v>0</v>
      </c>
      <c r="FA53" s="1" t="str">
        <f>CONCATENATE("山陽　",FI36,"/?")</f>
        <v>山陽　0/?</v>
      </c>
      <c r="FL53" s="243" t="s">
        <v>195</v>
      </c>
      <c r="FM53" s="224" t="s">
        <v>196</v>
      </c>
      <c r="FN53" s="92">
        <v>1</v>
      </c>
      <c r="FO53" s="92">
        <v>90</v>
      </c>
      <c r="FP53" s="92">
        <v>90</v>
      </c>
      <c r="FQ53" s="18">
        <f t="shared" si="217"/>
        <v>-90</v>
      </c>
      <c r="FR53" s="263"/>
    </row>
    <row r="54" spans="3:174" ht="13.5">
      <c r="C54" s="243"/>
      <c r="D54" s="224"/>
      <c r="E54" s="92"/>
      <c r="F54" s="92"/>
      <c r="G54" s="92"/>
      <c r="H54" s="18">
        <f t="shared" si="211"/>
        <v>0</v>
      </c>
      <c r="N54" s="1" t="str">
        <f>O3</f>
        <v>投了</v>
      </c>
      <c r="Y54" s="1" t="str">
        <f>Z3</f>
        <v>投了</v>
      </c>
      <c r="AU54" s="243" t="s">
        <v>195</v>
      </c>
      <c r="AV54" s="224" t="s">
        <v>196</v>
      </c>
      <c r="AW54" s="92">
        <v>1</v>
      </c>
      <c r="AX54" s="92">
        <v>60</v>
      </c>
      <c r="AY54" s="92">
        <v>60</v>
      </c>
      <c r="AZ54" s="18">
        <f t="shared" si="212"/>
        <v>-60</v>
      </c>
      <c r="CB54" s="243" t="s">
        <v>210</v>
      </c>
      <c r="CC54" s="224" t="s">
        <v>199</v>
      </c>
      <c r="CD54" s="92">
        <v>1</v>
      </c>
      <c r="CE54" s="92">
        <v>100</v>
      </c>
      <c r="CF54" s="92">
        <v>100</v>
      </c>
      <c r="CG54" s="18">
        <f t="shared" si="213"/>
        <v>-100</v>
      </c>
      <c r="CX54" s="243" t="s">
        <v>195</v>
      </c>
      <c r="CY54" s="224" t="s">
        <v>83</v>
      </c>
      <c r="CZ54" s="92">
        <v>-2</v>
      </c>
      <c r="DA54" s="92">
        <v>75</v>
      </c>
      <c r="DB54" s="92">
        <v>65</v>
      </c>
      <c r="DC54" s="18">
        <f t="shared" si="214"/>
        <v>150</v>
      </c>
      <c r="DT54" s="243"/>
      <c r="DU54" s="224"/>
      <c r="DV54" s="92"/>
      <c r="DW54" s="92"/>
      <c r="DX54" s="92"/>
      <c r="DY54" s="18">
        <f t="shared" si="215"/>
        <v>0</v>
      </c>
      <c r="EP54" s="243"/>
      <c r="EQ54" s="224"/>
      <c r="ER54" s="92"/>
      <c r="ES54" s="92"/>
      <c r="ET54" s="92"/>
      <c r="EU54" s="18">
        <f t="shared" si="216"/>
        <v>0</v>
      </c>
      <c r="FL54" s="243" t="s">
        <v>131</v>
      </c>
      <c r="FM54" s="224" t="s">
        <v>83</v>
      </c>
      <c r="FN54" s="92">
        <v>1</v>
      </c>
      <c r="FO54" s="92">
        <v>80</v>
      </c>
      <c r="FP54" s="92">
        <v>80</v>
      </c>
      <c r="FQ54" s="18">
        <f t="shared" si="217"/>
        <v>-80</v>
      </c>
      <c r="FR54" s="263"/>
    </row>
    <row r="55" spans="3:174" ht="14.25" thickBot="1">
      <c r="C55" s="248"/>
      <c r="D55" s="238"/>
      <c r="E55" s="95"/>
      <c r="F55" s="95"/>
      <c r="G55" s="95"/>
      <c r="H55" s="16">
        <f t="shared" si="211"/>
        <v>0</v>
      </c>
      <c r="N55" s="1" t="str">
        <f>CONCATENATE("現金　\",O5-O11-O38,"→ \",O5)</f>
        <v>現金　\1204→ \1244</v>
      </c>
      <c r="Y55" s="1" t="str">
        <f>CONCATENATE("現金　\",Z5-Z11-Z38,"→ \",Z5)</f>
        <v>現金　\73→ \113</v>
      </c>
      <c r="AJ55" s="1" t="str">
        <f>AK3</f>
        <v>投了</v>
      </c>
      <c r="AU55" s="248" t="s">
        <v>195</v>
      </c>
      <c r="AV55" s="238" t="s">
        <v>83</v>
      </c>
      <c r="AW55" s="95">
        <v>1</v>
      </c>
      <c r="AX55" s="95">
        <v>60</v>
      </c>
      <c r="AY55" s="95">
        <v>60</v>
      </c>
      <c r="AZ55" s="16">
        <f t="shared" si="212"/>
        <v>-60</v>
      </c>
      <c r="BF55" s="1" t="str">
        <f>BG3</f>
        <v>投了</v>
      </c>
      <c r="BQ55" s="1" t="str">
        <f>BR3</f>
        <v>投了</v>
      </c>
      <c r="CB55" s="248" t="s">
        <v>210</v>
      </c>
      <c r="CC55" s="238" t="s">
        <v>199</v>
      </c>
      <c r="CD55" s="95">
        <v>-1</v>
      </c>
      <c r="CE55" s="95">
        <v>100</v>
      </c>
      <c r="CF55" s="95">
        <v>90</v>
      </c>
      <c r="CG55" s="16">
        <f t="shared" si="213"/>
        <v>100</v>
      </c>
      <c r="CM55" s="1" t="str">
        <f>CN3</f>
        <v>投了</v>
      </c>
      <c r="CX55" s="248" t="s">
        <v>200</v>
      </c>
      <c r="CY55" s="238" t="s">
        <v>83</v>
      </c>
      <c r="CZ55" s="95">
        <v>-1</v>
      </c>
      <c r="DA55" s="95">
        <v>100</v>
      </c>
      <c r="DB55" s="95">
        <v>90</v>
      </c>
      <c r="DC55" s="16">
        <f t="shared" si="214"/>
        <v>100</v>
      </c>
      <c r="DI55" s="1" t="str">
        <f>DJ3</f>
        <v>投了</v>
      </c>
      <c r="DT55" s="248"/>
      <c r="DU55" s="238"/>
      <c r="DV55" s="95"/>
      <c r="DW55" s="95"/>
      <c r="DX55" s="95"/>
      <c r="DY55" s="16">
        <f t="shared" si="215"/>
        <v>0</v>
      </c>
      <c r="EE55" s="1" t="str">
        <f>EF3</f>
        <v>投了</v>
      </c>
      <c r="EP55" s="248"/>
      <c r="EQ55" s="238"/>
      <c r="ER55" s="95"/>
      <c r="ES55" s="95"/>
      <c r="ET55" s="95"/>
      <c r="EU55" s="16">
        <f t="shared" si="216"/>
        <v>0</v>
      </c>
      <c r="FA55" s="1" t="str">
        <f>FB3</f>
        <v>投了</v>
      </c>
      <c r="FL55" s="243" t="s">
        <v>195</v>
      </c>
      <c r="FM55" s="224" t="s">
        <v>196</v>
      </c>
      <c r="FN55" s="92">
        <v>1</v>
      </c>
      <c r="FO55" s="92">
        <v>90</v>
      </c>
      <c r="FP55" s="92">
        <v>90</v>
      </c>
      <c r="FQ55" s="18">
        <f t="shared" si="217"/>
        <v>-90</v>
      </c>
      <c r="FR55" s="263"/>
    </row>
    <row r="56" spans="3:174" ht="13.5">
      <c r="C56" s="242"/>
      <c r="D56" s="235"/>
      <c r="E56" s="89"/>
      <c r="F56" s="89"/>
      <c r="G56" s="89"/>
      <c r="H56" s="27">
        <f t="shared" si="211"/>
        <v>0</v>
      </c>
      <c r="N56" s="1" t="str">
        <f>CONCATENATE("株　\",O6,Q56,R56,S56,T56)</f>
        <v>株　\1360 Ｊx3 近x3 京x3 地x5 急x2 山x1 福</v>
      </c>
      <c r="Q56" s="1" t="str">
        <f>CONCATENATE(IF(O27=0,"",CONCATENATE(" Ｊx",O27)),IF(O28=0,"",CONCATENATE(" 近x",O28)),IF(O31=0,"",CONCATENATE(" 神x",O31)),IF(O32=0,"",CONCATENATE(" 京x",O32)))</f>
        <v> Ｊx3 近x3 京x3</v>
      </c>
      <c r="R56" s="1" t="str">
        <f>CONCATENATE(IF(O33=0,"",CONCATENATE(" 地x",O33)),IF(O34=0,"",CONCATENATE(" 南x",O34)),IF(O35=0,"",CONCATENATE(" 急x",O35)),IF(O36=0,"",CONCATENATE(" 山x",O36)))</f>
        <v> 地x5 急x2 山x1</v>
      </c>
      <c r="S56" s="1" t="str">
        <f>CONCATENATE(" ",IF(O12="○","有",""),IF(O13="○","戸",""),IF(O14="○","堺",""),IF(O15="○","二",""),,IF(O16="○","津",""),,IF(O17="○","市",""),,IF(O20="○","①",""),,IF(O21="○","②",""),,IF(O22="○","③",""),,IF(O23="○","④",""),,IF(O24="○","⑤",""))</f>
        <v> </v>
      </c>
      <c r="T56" s="1" t="str">
        <f>CONCATENATE(IF(O39="○","伍",""),IF(O40="○","福",""),IF(O41="○","⑥",""),IF(O42="○","北",""),,IF(O43="○","泉",""))</f>
        <v>福</v>
      </c>
      <c r="Y56" s="1" t="str">
        <f>CONCATENATE("株　\",Z6,AB56,AC56,AD56,AE56)</f>
        <v>株　\1270 Ｊx3 近x3 京x3 地x5 急x2 山x1 福</v>
      </c>
      <c r="AB56" s="1" t="str">
        <f>CONCATENATE(IF(Z27=0,"",CONCATENATE(" Ｊx",Z27)),IF(Z28=0,"",CONCATENATE(" 近x",Z28)),IF(Z31=0,"",CONCATENATE(" 神x",Z31)),IF(Z32=0,"",CONCATENATE(" 京x",Z32)))</f>
        <v> Ｊx3 近x3 京x3</v>
      </c>
      <c r="AC56" s="1" t="str">
        <f>CONCATENATE(IF(Z33=0,"",CONCATENATE(" 地x",Z33)),IF(Z34=0,"",CONCATENATE(" 南x",Z34)),IF(Z35=0,"",CONCATENATE(" 急x",Z35)),IF(Z36=0,"",CONCATENATE(" 山x",Z36)))</f>
        <v> 地x5 急x2 山x1</v>
      </c>
      <c r="AD56" s="1" t="str">
        <f>CONCATENATE(" ",IF(Z12="○","有",""),IF(Z13="○","戸",""),IF(Z14="○","堺",""),IF(Z15="○","二",""),,IF(Z16="○","津",""),,IF(Z17="○","市",""),,IF(Z20="○","①",""),,IF(Z21="○","②",""),,IF(Z22="○","③",""),,IF(Z23="○","④",""),,IF(Z24="○","⑤",""))</f>
        <v> </v>
      </c>
      <c r="AE56" s="1" t="str">
        <f>CONCATENATE(IF(Z39="○","伍",""),IF(Z40="○","福",""),IF(Z41="○","⑥",""),IF(Z42="○","北",""),,IF(Z43="○","泉",""))</f>
        <v>福</v>
      </c>
      <c r="AJ56" s="1" t="str">
        <f>CONCATENATE("現金　\",AK5-AK11-AK38,"→ \",AK5)</f>
        <v>現金　\-29→ \11</v>
      </c>
      <c r="AU56" s="242" t="s">
        <v>195</v>
      </c>
      <c r="AV56" s="235" t="s">
        <v>196</v>
      </c>
      <c r="AW56" s="89">
        <v>1</v>
      </c>
      <c r="AX56" s="89">
        <v>60</v>
      </c>
      <c r="AY56" s="89">
        <v>60</v>
      </c>
      <c r="AZ56" s="27">
        <f t="shared" si="212"/>
        <v>-60</v>
      </c>
      <c r="BF56" s="1" t="str">
        <f>CONCATENATE("現金　\",BG5-BG11-BG38,"→ \",BG5)</f>
        <v>現金　\489→ \529</v>
      </c>
      <c r="BQ56" s="1" t="str">
        <f>CONCATENATE("現金　\",BR5-BR11-BR38,"→ \",BR5)</f>
        <v>現金　\239→ \319</v>
      </c>
      <c r="CB56" s="242" t="s">
        <v>131</v>
      </c>
      <c r="CC56" s="235" t="s">
        <v>83</v>
      </c>
      <c r="CD56" s="89">
        <v>1</v>
      </c>
      <c r="CE56" s="89">
        <v>60</v>
      </c>
      <c r="CF56" s="89">
        <v>60</v>
      </c>
      <c r="CG56" s="27">
        <f t="shared" si="213"/>
        <v>-60</v>
      </c>
      <c r="CM56" s="1" t="str">
        <f>CONCATENATE("現金　\",CN5-CN11-CN38,"→ \",CN5)</f>
        <v>現金　\559→ \624</v>
      </c>
      <c r="CX56" s="242" t="s">
        <v>201</v>
      </c>
      <c r="CY56" s="235" t="s">
        <v>199</v>
      </c>
      <c r="CZ56" s="89">
        <v>1</v>
      </c>
      <c r="DA56" s="89">
        <v>65</v>
      </c>
      <c r="DB56" s="89">
        <v>65</v>
      </c>
      <c r="DC56" s="27">
        <f t="shared" si="214"/>
        <v>-65</v>
      </c>
      <c r="DI56" s="1" t="str">
        <f>CONCATENATE("現金　\",DJ5-DJ11-DJ38,"→ \",DJ5)</f>
        <v>現金　\214→ \279</v>
      </c>
      <c r="DT56" s="242"/>
      <c r="DU56" s="235"/>
      <c r="DV56" s="89"/>
      <c r="DW56" s="89"/>
      <c r="DX56" s="89"/>
      <c r="DY56" s="27">
        <f t="shared" si="215"/>
        <v>0</v>
      </c>
      <c r="EE56" s="1" t="str">
        <f>CONCATENATE("現金　\",EF5-EF11-EF38,"→ \",EF5)</f>
        <v>現金　\127→ \192</v>
      </c>
      <c r="EP56" s="242"/>
      <c r="EQ56" s="235"/>
      <c r="ER56" s="89"/>
      <c r="ES56" s="89"/>
      <c r="ET56" s="89"/>
      <c r="EU56" s="27">
        <f t="shared" si="216"/>
        <v>0</v>
      </c>
      <c r="FA56" s="1" t="str">
        <f>CONCATENATE("現金　\",FB5-FB11-FB38,"→ \",FB5)</f>
        <v>現金　\40→ \105</v>
      </c>
      <c r="FL56" s="243"/>
      <c r="FM56" s="224"/>
      <c r="FN56" s="92"/>
      <c r="FO56" s="92"/>
      <c r="FP56" s="92"/>
      <c r="FQ56" s="18">
        <f aca="true" t="shared" si="218" ref="FQ56:FQ82">-FN56*FO56</f>
        <v>0</v>
      </c>
      <c r="FR56" s="263"/>
    </row>
    <row r="57" spans="3:174" ht="13.5">
      <c r="C57" s="243"/>
      <c r="D57" s="224"/>
      <c r="E57" s="92"/>
      <c r="F57" s="92"/>
      <c r="G57" s="92"/>
      <c r="H57" s="18">
        <f t="shared" si="211"/>
        <v>0</v>
      </c>
      <c r="N57" s="1" t="str">
        <f>CONCATENATE("総資産　\",O4-O11-O38,"→ \",O4)</f>
        <v>総資産　\2564→ \2604</v>
      </c>
      <c r="Y57" s="1" t="str">
        <f>CONCATENATE("総資産　\",Z4-Z11-Z38,"→ \",Z4)</f>
        <v>総資産　\1343→ \1383</v>
      </c>
      <c r="AJ57" s="1" t="str">
        <f>CONCATENATE("株　\",AK6,AM57,AN57,AO57,AP57)</f>
        <v>株　\1355 Ｊx3 近x3 京x3 地x5 急x2 山x1 福</v>
      </c>
      <c r="AM57" s="1" t="str">
        <f>CONCATENATE(IF(AK27=0,"",CONCATENATE(" Ｊx",AK27)),IF(AK28=0,"",CONCATENATE(" 近x",AK28)),IF(AK31=0,"",CONCATENATE(" 神x",AK31)),IF(AK32=0,"",CONCATENATE(" 京x",AK32)))</f>
        <v> Ｊx3 近x3 京x3</v>
      </c>
      <c r="AN57" s="1" t="str">
        <f>CONCATENATE(IF(AK33=0,"",CONCATENATE(" 地x",AK33)),IF(AK34=0,"",CONCATENATE(" 南x",AK34)),IF(AK35=0,"",CONCATENATE(" 急x",AK35)),IF(AK36=0,"",CONCATENATE(" 山x",AK36)))</f>
        <v> 地x5 急x2 山x1</v>
      </c>
      <c r="AO57" s="1" t="str">
        <f>CONCATENATE(" ",IF(AK12="○","有",""),IF(AK13="○","戸",""),IF(AK14="○","堺",""),IF(AK15="○","二",""),,IF(AK16="○","津",""),,IF(AK17="○","市",""),,IF(AK20="○","①",""),,IF(AK21="○","②",""),,IF(AK22="○","③",""),,IF(AK23="○","④",""),,IF(AK24="○","⑤",""))</f>
        <v> </v>
      </c>
      <c r="AP57" s="1" t="str">
        <f>CONCATENATE(IF(AK39="○","伍",""),IF(AK40="○","福",""),IF(AK41="○","⑥",""),IF(AK42="○","北",""),,IF(AK43="○","泉",""))</f>
        <v>福</v>
      </c>
      <c r="AU57" s="243" t="s">
        <v>201</v>
      </c>
      <c r="AV57" s="224" t="s">
        <v>83</v>
      </c>
      <c r="AW57" s="92">
        <v>-1</v>
      </c>
      <c r="AX57" s="92">
        <v>40</v>
      </c>
      <c r="AY57" s="92">
        <v>35</v>
      </c>
      <c r="AZ57" s="18">
        <f t="shared" si="212"/>
        <v>40</v>
      </c>
      <c r="BF57" s="1" t="str">
        <f>CONCATENATE("株　\",BG6,BI57,BJ57,BK57,BL57)</f>
        <v>株　\1590 Ｊx6 近x2 神x2 地x4 急x3 福</v>
      </c>
      <c r="BI57" s="1" t="str">
        <f>CONCATENATE(IF(BG27=0,"",CONCATENATE(" Ｊx",BG27)),IF(BG28=0,"",CONCATENATE(" 近x",BG28)),IF(BG31=0,"",CONCATENATE(" 神x",BG31)),IF(BG32=0,"",CONCATENATE(" 京x",BG32)))</f>
        <v> Ｊx6 近x2 神x2</v>
      </c>
      <c r="BJ57" s="1" t="str">
        <f>CONCATENATE(IF(BG33=0,"",CONCATENATE(" 地x",BG33)),IF(BG34=0,"",CONCATENATE(" 南x",BG34)),IF(BG35=0,"",CONCATENATE(" 急x",BG35)),IF(BG36=0,"",CONCATENATE(" 山x",BG36)))</f>
        <v> 地x4 急x3</v>
      </c>
      <c r="BK57" s="1" t="str">
        <f>CONCATENATE(" ",IF(BG12="○","有",""),IF(BG13="○","戸",""),IF(BG14="○","堺",""),IF(BG15="○","二",""),,IF(BG16="○","津",""),,IF(BG17="○","市",""),,IF(BG20="○","①",""),,IF(BG21="○","②",""),,IF(BG22="○","③",""),,IF(BG23="○","④",""),,IF(BG24="○","⑤",""))</f>
        <v> </v>
      </c>
      <c r="BL57" s="1" t="str">
        <f>CONCATENATE(IF(BG39="○","伍",""),IF(BG40="○","福",""),IF(BG41="○","⑥",""),IF(BG42="○","北",""),,IF(BG43="○","泉",""))</f>
        <v>福</v>
      </c>
      <c r="BQ57" s="1" t="str">
        <f>CONCATENATE("株　\",BR6,BT57,BU57,BV57,BW57)</f>
        <v>株　\1535 Ｊx6 近x2 神x2 地x4 急x3 福</v>
      </c>
      <c r="BT57" s="1" t="str">
        <f>CONCATENATE(IF(BR27=0,"",CONCATENATE(" Ｊx",BR27)),IF(BR28=0,"",CONCATENATE(" 近x",BR28)),IF(BR31=0,"",CONCATENATE(" 神x",BR31)),IF(BR32=0,"",CONCATENATE(" 京x",BR32)))</f>
        <v> Ｊx6 近x2 神x2</v>
      </c>
      <c r="BU57" s="1" t="str">
        <f>CONCATENATE(IF(BR33=0,"",CONCATENATE(" 地x",BR33)),IF(BR34=0,"",CONCATENATE(" 南x",BR34)),IF(BR35=0,"",CONCATENATE(" 急x",BR35)),IF(BR36=0,"",CONCATENATE(" 山x",BR36)))</f>
        <v> 地x4 急x3</v>
      </c>
      <c r="BV57" s="1" t="str">
        <f>CONCATENATE(" ",IF(BR12="○","有",""),IF(BR13="○","戸",""),IF(BR14="○","堺",""),IF(BR15="○","二",""),,IF(BR16="○","津",""),,IF(BR17="○","市",""),,IF(BR20="○","①",""),,IF(BR21="○","②",""),,IF(BR22="○","③",""),,IF(BR23="○","④",""),,IF(BR24="○","⑤",""))</f>
        <v> </v>
      </c>
      <c r="BW57" s="1" t="str">
        <f>CONCATENATE(IF(BR39="○","伍",""),IF(BR40="○","福",""),IF(BR41="○","⑥",""),IF(BR42="○","北",""),,IF(BR43="○","泉",""))</f>
        <v>福</v>
      </c>
      <c r="CB57" s="243" t="s">
        <v>131</v>
      </c>
      <c r="CC57" s="224" t="s">
        <v>83</v>
      </c>
      <c r="CD57" s="92">
        <v>-3</v>
      </c>
      <c r="CE57" s="92">
        <v>60</v>
      </c>
      <c r="CF57" s="92">
        <v>45</v>
      </c>
      <c r="CG57" s="18">
        <f t="shared" si="213"/>
        <v>180</v>
      </c>
      <c r="CM57" s="1" t="str">
        <f>CONCATENATE("株　\",CN6,CP57,CQ57,CR57,CS57)</f>
        <v>株　\1030 Ｊx5 神x3 地x3 市</v>
      </c>
      <c r="CP57" s="1" t="str">
        <f>CONCATENATE(IF(CN27=0,"",CONCATENATE(" Ｊx",CN27)),IF(CN28=0,"",CONCATENATE(" 近x",CN28)),IF(CN31=0,"",CONCATENATE(" 神x",CN31)),IF(CN32=0,"",CONCATENATE(" 京x",CN32)))</f>
        <v> Ｊx5 神x3</v>
      </c>
      <c r="CQ57" s="1" t="str">
        <f>CONCATENATE(IF(CN33=0,"",CONCATENATE(" 地x",CN33)),IF(CN34=0,"",CONCATENATE(" 南x",CN34)),IF(CN35=0,"",CONCATENATE(" 急x",CN35)),IF(CN36=0,"",CONCATENATE(" 山x",CN36)))</f>
        <v> 地x3</v>
      </c>
      <c r="CR57" s="1" t="str">
        <f>CONCATENATE(" ",IF(CN12="○","有",""),IF(CN13="○","戸",""),IF(CN14="○","堺",""),IF(CN15="○","二",""),,IF(CN16="○","津",""),,IF(CN17="○","市",""),,IF(CN20="○","①",""),,IF(CN21="○","②",""),,IF(CN22="○","③",""),,IF(CN23="○","④",""),,IF(CN24="○","⑤",""))</f>
        <v> 市</v>
      </c>
      <c r="CS57" s="1">
        <f>CONCATENATE(IF(CN39="○","伍",""),IF(CN40="○","福",""),IF(CN41="○","⑥",""),IF(CN42="○","北",""),,IF(CN43="○","泉",""))</f>
      </c>
      <c r="CX57" s="243" t="s">
        <v>131</v>
      </c>
      <c r="CY57" s="224" t="s">
        <v>83</v>
      </c>
      <c r="CZ57" s="92">
        <v>-3</v>
      </c>
      <c r="DA57" s="92">
        <v>80</v>
      </c>
      <c r="DB57" s="92">
        <v>65</v>
      </c>
      <c r="DC57" s="18">
        <f t="shared" si="214"/>
        <v>240</v>
      </c>
      <c r="DI57" s="1" t="str">
        <f>CONCATENATE("株　\",DJ6,DL57,DM57,DN57,DO57)</f>
        <v>株　\1170 神x6 京x1 地x3 有二市①</v>
      </c>
      <c r="DL57" s="1" t="str">
        <f>CONCATENATE(IF(DJ27=0,"",CONCATENATE(" Ｊx",DJ27)),IF(DJ28=0,"",CONCATENATE(" 近x",DJ28)),IF(DJ31=0,"",CONCATENATE(" 神x",DJ31)),IF(DJ32=0,"",CONCATENATE(" 京x",DJ32)))</f>
        <v> 神x6 京x1</v>
      </c>
      <c r="DM57" s="1" t="str">
        <f>CONCATENATE(IF(DJ33=0,"",CONCATENATE(" 地x",DJ33)),IF(DJ34=0,"",CONCATENATE(" 南x",DJ34)),IF(DJ35=0,"",CONCATENATE(" 急x",DJ35)),IF(DJ36=0,"",CONCATENATE(" 山x",DJ36)))</f>
        <v> 地x3</v>
      </c>
      <c r="DN57" s="1" t="str">
        <f>CONCATENATE(" ",IF(DJ12="○","有",""),IF(DJ13="○","戸",""),IF(DJ14="○","堺",""),IF(DJ15="○","二",""),,IF(DJ16="○","津",""),,IF(DJ17="○","市",""),,IF(DJ20="○","①",""),,IF(DJ21="○","②",""),,IF(DJ22="○","③",""),,IF(DJ23="○","④",""),,IF(DJ24="○","⑤",""))</f>
        <v> 有二市①</v>
      </c>
      <c r="DO57" s="1">
        <f>CONCATENATE(IF(DJ39="○","伍",""),IF(DJ40="○","福",""),IF(DJ41="○","⑥",""),IF(DJ42="○","北",""),,IF(DJ43="○","泉",""))</f>
      </c>
      <c r="DT57" s="243"/>
      <c r="DU57" s="224"/>
      <c r="DV57" s="92"/>
      <c r="DW57" s="92"/>
      <c r="DX57" s="92"/>
      <c r="DY57" s="18">
        <f t="shared" si="215"/>
        <v>0</v>
      </c>
      <c r="EE57" s="1" t="str">
        <f>CONCATENATE("株　\",EF6,EH57,EI57,EJ57,EK57)</f>
        <v>株　\1010 神x6 地x3 有二市①</v>
      </c>
      <c r="EH57" s="1" t="str">
        <f>CONCATENATE(IF(EF27=0,"",CONCATENATE(" Ｊx",EF27)),IF(EF28=0,"",CONCATENATE(" 近x",EF28)),IF(EF31=0,"",CONCATENATE(" 神x",EF31)),IF(EF32=0,"",CONCATENATE(" 京x",EF32)))</f>
        <v> 神x6</v>
      </c>
      <c r="EI57" s="1" t="str">
        <f>CONCATENATE(IF(EF33=0,"",CONCATENATE(" 地x",EF33)),IF(EF34=0,"",CONCATENATE(" 南x",EF34)),IF(EF35=0,"",CONCATENATE(" 急x",EF35)),IF(EF36=0,"",CONCATENATE(" 山x",EF36)))</f>
        <v> 地x3</v>
      </c>
      <c r="EJ57" s="1" t="str">
        <f>CONCATENATE(" ",IF(EF12="○","有",""),IF(EF13="○","戸",""),IF(EF14="○","堺",""),IF(EF15="○","二",""),,IF(EF16="○","津",""),,IF(EF17="○","市",""),,IF(EF20="○","①",""),,IF(EF21="○","②",""),,IF(EF22="○","③",""),,IF(EF23="○","④",""),,IF(EF24="○","⑤",""))</f>
        <v> 有二市①</v>
      </c>
      <c r="EK57" s="1">
        <f>CONCATENATE(IF(EF39="○","伍",""),IF(EF40="○","福",""),IF(EF41="○","⑥",""),IF(EF42="○","北",""),,IF(EF43="○","泉",""))</f>
      </c>
      <c r="EP57" s="243"/>
      <c r="EQ57" s="224"/>
      <c r="ER57" s="92"/>
      <c r="ES57" s="92"/>
      <c r="ET57" s="92"/>
      <c r="EU57" s="18">
        <f t="shared" si="216"/>
        <v>0</v>
      </c>
      <c r="FA57" s="1" t="str">
        <f>CONCATENATE("株　\",FB6,FD57,FE57,FF57,FG57)</f>
        <v>株　\905 神x5 地x3 有二市①</v>
      </c>
      <c r="FD57" s="1" t="str">
        <f>CONCATENATE(IF(FB27=0,"",CONCATENATE(" Ｊx",FB27)),IF(FB28=0,"",CONCATENATE(" 近x",FB28)),IF(FB31=0,"",CONCATENATE(" 神x",FB31)),IF(FB32=0,"",CONCATENATE(" 京x",FB32)))</f>
        <v> 神x5</v>
      </c>
      <c r="FE57" s="1" t="str">
        <f>CONCATENATE(IF(FB33=0,"",CONCATENATE(" 地x",FB33)),IF(FB34=0,"",CONCATENATE(" 南x",FB34)),IF(FB35=0,"",CONCATENATE(" 急x",FB35)),IF(FB36=0,"",CONCATENATE(" 山x",FB36)))</f>
        <v> 地x3</v>
      </c>
      <c r="FF57" s="1" t="str">
        <f>CONCATENATE(" ",IF(FB12="○","有",""),IF(FB13="○","戸",""),IF(FB14="○","堺",""),IF(FB15="○","二",""),,IF(FB16="○","津",""),,IF(FB17="○","市",""),,IF(FB20="○","①",""),,IF(FB21="○","②",""),,IF(FB22="○","③",""),,IF(FB23="○","④",""),,IF(FB24="○","⑤",""))</f>
        <v> 有二市①</v>
      </c>
      <c r="FG57" s="1">
        <f>CONCATENATE(IF(FB39="○","伍",""),IF(FB40="○","福",""),IF(FB41="○","⑥",""),IF(FB42="○","北",""),,IF(FB43="○","泉",""))</f>
      </c>
      <c r="FL57" s="243"/>
      <c r="FM57" s="224"/>
      <c r="FN57" s="92"/>
      <c r="FO57" s="92"/>
      <c r="FP57" s="92"/>
      <c r="FQ57" s="18">
        <f t="shared" si="218"/>
        <v>0</v>
      </c>
      <c r="FR57" s="263"/>
    </row>
    <row r="58" spans="3:174" ht="13.5">
      <c r="C58" s="243"/>
      <c r="D58" s="224"/>
      <c r="E58" s="92"/>
      <c r="F58" s="92"/>
      <c r="G58" s="92"/>
      <c r="H58" s="18">
        <f t="shared" si="211"/>
        <v>0</v>
      </c>
      <c r="AJ58" s="1" t="str">
        <f>CONCATENATE("総資産　\",AK4-AK11-AK38,"→ \",AK4)</f>
        <v>総資産　\1326→ \1366</v>
      </c>
      <c r="AU58" s="243" t="s">
        <v>208</v>
      </c>
      <c r="AV58" s="224" t="s">
        <v>83</v>
      </c>
      <c r="AW58" s="92">
        <v>1</v>
      </c>
      <c r="AX58" s="92">
        <v>100</v>
      </c>
      <c r="AY58" s="92">
        <v>100</v>
      </c>
      <c r="AZ58" s="18">
        <f t="shared" si="212"/>
        <v>-100</v>
      </c>
      <c r="BF58" s="1" t="str">
        <f>CONCATENATE("総資産　\",BG4-BG11-BG38,"→ \",BG4)</f>
        <v>総資産　\2079→ \2119</v>
      </c>
      <c r="BQ58" s="1" t="str">
        <f>CONCATENATE("総資産　\",BR4-BR11-BR38,"→ \",BR4)</f>
        <v>総資産　\1774→ \1854</v>
      </c>
      <c r="CB58" s="243" t="s">
        <v>210</v>
      </c>
      <c r="CC58" s="224" t="s">
        <v>196</v>
      </c>
      <c r="CD58" s="92">
        <v>-1</v>
      </c>
      <c r="CE58" s="92">
        <v>90</v>
      </c>
      <c r="CF58" s="92">
        <v>80</v>
      </c>
      <c r="CG58" s="18">
        <f t="shared" si="213"/>
        <v>90</v>
      </c>
      <c r="CM58" s="1" t="str">
        <f>CONCATENATE("総資産　\",CN4-CN11-CN38,"→ \",CN4)</f>
        <v>総資産　\1589→ \1654</v>
      </c>
      <c r="CX58" s="243" t="s">
        <v>44</v>
      </c>
      <c r="CY58" s="224" t="s">
        <v>83</v>
      </c>
      <c r="CZ58" s="92">
        <v>2</v>
      </c>
      <c r="DA58" s="92">
        <v>100</v>
      </c>
      <c r="DB58" s="92">
        <v>100</v>
      </c>
      <c r="DC58" s="18">
        <f t="shared" si="214"/>
        <v>-200</v>
      </c>
      <c r="DI58" s="1" t="str">
        <f>CONCATENATE("総資産　\",DJ4-DJ11-DJ38,"→ \",DJ4)</f>
        <v>総資産　\1384→ \1449</v>
      </c>
      <c r="DT58" s="243"/>
      <c r="DU58" s="224"/>
      <c r="DV58" s="92"/>
      <c r="DW58" s="92"/>
      <c r="DX58" s="92"/>
      <c r="DY58" s="18">
        <f t="shared" si="215"/>
        <v>0</v>
      </c>
      <c r="EE58" s="1" t="str">
        <f>CONCATENATE("総資産　\",EF4-EF11-EF38,"→ \",EF4)</f>
        <v>総資産　\1137→ \1202</v>
      </c>
      <c r="EP58" s="243"/>
      <c r="EQ58" s="224"/>
      <c r="ER58" s="92"/>
      <c r="ES58" s="92"/>
      <c r="ET58" s="92"/>
      <c r="EU58" s="18">
        <f t="shared" si="216"/>
        <v>0</v>
      </c>
      <c r="FA58" s="1" t="str">
        <f>CONCATENATE("総資産　\",FB4-FB11-FB38,"→ \",FB4)</f>
        <v>総資産　\945→ \1010</v>
      </c>
      <c r="FL58" s="243"/>
      <c r="FM58" s="224"/>
      <c r="FN58" s="92"/>
      <c r="FO58" s="92"/>
      <c r="FP58" s="92"/>
      <c r="FQ58" s="18">
        <f t="shared" si="218"/>
        <v>0</v>
      </c>
      <c r="FR58" s="263"/>
    </row>
    <row r="59" spans="3:174" ht="14.25" thickBot="1">
      <c r="C59" s="243"/>
      <c r="D59" s="224"/>
      <c r="E59" s="92"/>
      <c r="F59" s="92"/>
      <c r="G59" s="92"/>
      <c r="H59" s="18">
        <f t="shared" si="211"/>
        <v>0</v>
      </c>
      <c r="N59" s="1" t="str">
        <f>P3</f>
        <v>CB様</v>
      </c>
      <c r="Y59" s="1" t="str">
        <f>AA3</f>
        <v>CB様</v>
      </c>
      <c r="AU59" s="243" t="s">
        <v>209</v>
      </c>
      <c r="AV59" s="224" t="s">
        <v>196</v>
      </c>
      <c r="AW59" s="92">
        <v>1</v>
      </c>
      <c r="AX59" s="92">
        <v>100</v>
      </c>
      <c r="AY59" s="92">
        <v>100</v>
      </c>
      <c r="AZ59" s="18">
        <f t="shared" si="212"/>
        <v>-100</v>
      </c>
      <c r="CB59" s="243" t="s">
        <v>208</v>
      </c>
      <c r="CC59" s="224" t="s">
        <v>196</v>
      </c>
      <c r="CD59" s="92">
        <v>1</v>
      </c>
      <c r="CE59" s="92">
        <v>100</v>
      </c>
      <c r="CF59" s="92">
        <v>100</v>
      </c>
      <c r="CG59" s="18">
        <f t="shared" si="213"/>
        <v>-100</v>
      </c>
      <c r="CX59" s="243" t="s">
        <v>201</v>
      </c>
      <c r="CY59" s="224" t="s">
        <v>199</v>
      </c>
      <c r="CZ59" s="92">
        <v>1</v>
      </c>
      <c r="DA59" s="92">
        <v>65</v>
      </c>
      <c r="DB59" s="92">
        <v>65</v>
      </c>
      <c r="DC59" s="18">
        <f t="shared" si="214"/>
        <v>-65</v>
      </c>
      <c r="DT59" s="243"/>
      <c r="DU59" s="224"/>
      <c r="DV59" s="92"/>
      <c r="DW59" s="92"/>
      <c r="DX59" s="92"/>
      <c r="DY59" s="18">
        <f t="shared" si="215"/>
        <v>0</v>
      </c>
      <c r="EP59" s="243"/>
      <c r="EQ59" s="224"/>
      <c r="ER59" s="92"/>
      <c r="ES59" s="92"/>
      <c r="ET59" s="92"/>
      <c r="EU59" s="18">
        <f t="shared" si="216"/>
        <v>0</v>
      </c>
      <c r="FL59" s="248"/>
      <c r="FM59" s="238"/>
      <c r="FN59" s="95"/>
      <c r="FO59" s="95"/>
      <c r="FP59" s="95"/>
      <c r="FQ59" s="16">
        <f t="shared" si="218"/>
        <v>0</v>
      </c>
      <c r="FR59" s="263"/>
    </row>
    <row r="60" spans="3:174" ht="13.5">
      <c r="C60" s="243"/>
      <c r="D60" s="224"/>
      <c r="E60" s="92"/>
      <c r="F60" s="92"/>
      <c r="G60" s="92"/>
      <c r="H60" s="18">
        <f t="shared" si="211"/>
        <v>0</v>
      </c>
      <c r="N60" s="1" t="str">
        <f>CONCATENATE("現金　\",P5-P11-P38,"→ \",P5)</f>
        <v>現金　\807→ \877</v>
      </c>
      <c r="Y60" s="1" t="str">
        <f>CONCATENATE("現金　\",AA5-AA11-AA38,"→ \",AA5)</f>
        <v>現金　\121→ \191</v>
      </c>
      <c r="AJ60" s="1" t="str">
        <f>AL3</f>
        <v>CB様</v>
      </c>
      <c r="AU60" s="243" t="s">
        <v>208</v>
      </c>
      <c r="AV60" s="224" t="s">
        <v>83</v>
      </c>
      <c r="AW60" s="92">
        <v>1</v>
      </c>
      <c r="AX60" s="92">
        <v>100</v>
      </c>
      <c r="AY60" s="92">
        <v>100</v>
      </c>
      <c r="AZ60" s="18">
        <f t="shared" si="212"/>
        <v>-100</v>
      </c>
      <c r="BF60" s="1" t="str">
        <f>BH3</f>
        <v>CB様</v>
      </c>
      <c r="BQ60" s="1" t="str">
        <f>BS3</f>
        <v>CB様</v>
      </c>
      <c r="CB60" s="243" t="s">
        <v>201</v>
      </c>
      <c r="CC60" s="224" t="s">
        <v>83</v>
      </c>
      <c r="CD60" s="92">
        <v>1</v>
      </c>
      <c r="CE60" s="92">
        <v>45</v>
      </c>
      <c r="CF60" s="92">
        <v>45</v>
      </c>
      <c r="CG60" s="18">
        <f t="shared" si="213"/>
        <v>-45</v>
      </c>
      <c r="CM60" s="1" t="str">
        <f>CO3</f>
        <v>CB様</v>
      </c>
      <c r="CX60" s="243" t="s">
        <v>44</v>
      </c>
      <c r="CY60" s="224" t="s">
        <v>83</v>
      </c>
      <c r="CZ60" s="92">
        <v>1</v>
      </c>
      <c r="DA60" s="92">
        <v>100</v>
      </c>
      <c r="DB60" s="92">
        <v>100</v>
      </c>
      <c r="DC60" s="18">
        <f t="shared" si="214"/>
        <v>-100</v>
      </c>
      <c r="DI60" s="1" t="str">
        <f>DK3</f>
        <v>CB様</v>
      </c>
      <c r="DT60" s="243"/>
      <c r="DU60" s="224"/>
      <c r="DV60" s="92"/>
      <c r="DW60" s="92"/>
      <c r="DX60" s="92"/>
      <c r="DY60" s="18">
        <f t="shared" si="215"/>
        <v>0</v>
      </c>
      <c r="EE60" s="1" t="str">
        <f>EG3</f>
        <v>CB様</v>
      </c>
      <c r="EP60" s="243"/>
      <c r="EQ60" s="224"/>
      <c r="ER60" s="92"/>
      <c r="ES60" s="92"/>
      <c r="ET60" s="92"/>
      <c r="EU60" s="18">
        <f t="shared" si="216"/>
        <v>0</v>
      </c>
      <c r="FA60" s="1" t="str">
        <f>FC3</f>
        <v>CB様</v>
      </c>
      <c r="FL60" s="242"/>
      <c r="FM60" s="235"/>
      <c r="FN60" s="89"/>
      <c r="FO60" s="89"/>
      <c r="FP60" s="89"/>
      <c r="FQ60" s="27">
        <f t="shared" si="218"/>
        <v>0</v>
      </c>
      <c r="FR60" s="263"/>
    </row>
    <row r="61" spans="3:174" ht="13.5">
      <c r="C61" s="243"/>
      <c r="D61" s="224"/>
      <c r="E61" s="92"/>
      <c r="F61" s="92"/>
      <c r="G61" s="92"/>
      <c r="H61" s="18">
        <f t="shared" si="211"/>
        <v>0</v>
      </c>
      <c r="N61" s="1" t="str">
        <f>CONCATENATE("株　\",P6,Q61,R61,S61,T61)</f>
        <v>株　\1520 近x6 南x4 山x4 泉</v>
      </c>
      <c r="Q61" s="1" t="str">
        <f>CONCATENATE(IF(P27=0,"",CONCATENATE(" Ｊx",P27)),IF(P28=0,"",CONCATENATE(" 近x",P28)),IF(P31=0,"",CONCATENATE(" 神x",P31)),IF(P32=0,"",CONCATENATE(" 京x",P32)))</f>
        <v> 近x6</v>
      </c>
      <c r="R61" s="1" t="str">
        <f>CONCATENATE(IF(P33=0,"",CONCATENATE(" 地x",P33)),IF(P34=0,"",CONCATENATE(" 南x",P34)),IF(P35=0,"",CONCATENATE(" 急x",P35)),IF(P36=0,"",CONCATENATE(" 山x",P36)))</f>
        <v> 南x4 山x4</v>
      </c>
      <c r="S61" s="1" t="str">
        <f>CONCATENATE(" ",IF(P12="○","有",""),IF(P13="○","戸",""),IF(P14="○","堺",""),IF(P15="○","二",""),,IF(P16="○","津",""),,IF(P17="○","市",""),,IF(P20="○","①",""),,IF(P21="○","②",""),,IF(P22="○","③",""),,IF(P23="○","④",""),,IF(P24="○","⑤",""))</f>
        <v> </v>
      </c>
      <c r="T61" s="1" t="str">
        <f>CONCATENATE(IF(P39="○","伍",""),IF(P40="○","福",""),IF(P41="○","⑥",""),IF(P42="○","北",""),,IF(P43="○","泉",""))</f>
        <v>泉</v>
      </c>
      <c r="Y61" s="1" t="str">
        <f>CONCATENATE("株　\",AA6,AB61,AC61,AD61,AE61)</f>
        <v>株　\1460 近x6 南x4 山x4 泉</v>
      </c>
      <c r="AB61" s="1" t="str">
        <f>CONCATENATE(IF(AA27=0,"",CONCATENATE(" Ｊx",AA27)),IF(AA28=0,"",CONCATENATE(" 近x",AA28)),IF(AA31=0,"",CONCATENATE(" 神x",AA31)),IF(AA32=0,"",CONCATENATE(" 京x",AA32)))</f>
        <v> 近x6</v>
      </c>
      <c r="AC61" s="1" t="str">
        <f>CONCATENATE(IF(AA33=0,"",CONCATENATE(" 地x",AA33)),IF(AA34=0,"",CONCATENATE(" 南x",AA34)),IF(AA35=0,"",CONCATENATE(" 急x",AA35)),IF(AA36=0,"",CONCATENATE(" 山x",AA36)))</f>
        <v> 南x4 山x4</v>
      </c>
      <c r="AD61" s="1" t="str">
        <f>CONCATENATE(" ",IF(AA12="○","有",""),IF(AA13="○","戸",""),IF(AA14="○","堺",""),IF(AA15="○","二",""),,IF(AA16="○","津",""),,IF(AA17="○","市",""),,IF(AA20="○","①",""),,IF(AA21="○","②",""),,IF(AA22="○","③",""),,IF(AA23="○","④",""),,IF(AA24="○","⑤",""))</f>
        <v> </v>
      </c>
      <c r="AE61" s="1" t="str">
        <f>CONCATENATE(IF(AA39="○","伍",""),IF(AA40="○","福",""),IF(AA41="○","⑥",""),IF(AA42="○","北",""),,IF(AA43="○","泉",""))</f>
        <v>泉</v>
      </c>
      <c r="AJ61" s="1" t="str">
        <f>CONCATENATE("現金　\",AL5-AL11-AL38,"→ \",AL5)</f>
        <v>現金　\52→ \122</v>
      </c>
      <c r="AU61" s="243" t="s">
        <v>208</v>
      </c>
      <c r="AV61" s="224" t="s">
        <v>83</v>
      </c>
      <c r="AW61" s="92">
        <v>1</v>
      </c>
      <c r="AX61" s="92">
        <v>100</v>
      </c>
      <c r="AY61" s="92">
        <v>100</v>
      </c>
      <c r="AZ61" s="18">
        <f t="shared" si="212"/>
        <v>-100</v>
      </c>
      <c r="BF61" s="1" t="str">
        <f>CONCATENATE("現金　\",BH5-BH11-BH38,"→ \",BH5)</f>
        <v>現金　\352→ \422</v>
      </c>
      <c r="BQ61" s="1" t="str">
        <f>CONCATENATE("現金　\",BS5-BS11-BS38,"→ \",BS5)</f>
        <v>現金　\137→ \207</v>
      </c>
      <c r="CB61" s="243" t="s">
        <v>208</v>
      </c>
      <c r="CC61" s="224" t="s">
        <v>196</v>
      </c>
      <c r="CD61" s="92">
        <v>1</v>
      </c>
      <c r="CE61" s="92">
        <v>100</v>
      </c>
      <c r="CF61" s="92">
        <v>100</v>
      </c>
      <c r="CG61" s="18">
        <f t="shared" si="213"/>
        <v>-100</v>
      </c>
      <c r="CM61" s="1" t="str">
        <f>CONCATENATE("現金　\",CO5-CO11-CO38,"→ \",CO5)</f>
        <v>現金　\457→ \552</v>
      </c>
      <c r="CX61" s="243" t="s">
        <v>201</v>
      </c>
      <c r="CY61" s="224" t="s">
        <v>199</v>
      </c>
      <c r="CZ61" s="92">
        <v>1</v>
      </c>
      <c r="DA61" s="92">
        <v>65</v>
      </c>
      <c r="DB61" s="92">
        <v>65</v>
      </c>
      <c r="DC61" s="18">
        <f t="shared" si="214"/>
        <v>-65</v>
      </c>
      <c r="DI61" s="1" t="str">
        <f>CONCATENATE("現金　\",DK5-DK11-DK38,"→ \",DK5)</f>
        <v>現金　\115→ \140</v>
      </c>
      <c r="DT61" s="243"/>
      <c r="DU61" s="224"/>
      <c r="DV61" s="92"/>
      <c r="DW61" s="92"/>
      <c r="DX61" s="92"/>
      <c r="DY61" s="18">
        <f t="shared" si="215"/>
        <v>0</v>
      </c>
      <c r="EE61" s="1" t="str">
        <f>CONCATENATE("現金　\",EG5-EG11-EG38,"→ \",EG5)</f>
        <v>現金　\110→ \135</v>
      </c>
      <c r="EP61" s="243"/>
      <c r="EQ61" s="224"/>
      <c r="ER61" s="92"/>
      <c r="ES61" s="92"/>
      <c r="ET61" s="92"/>
      <c r="EU61" s="18">
        <f t="shared" si="216"/>
        <v>0</v>
      </c>
      <c r="FA61" s="1" t="str">
        <f>CONCATENATE("現金　\",FC5-FC11-FC38,"→ \",FC5)</f>
        <v>現金　\5→ \30</v>
      </c>
      <c r="FL61" s="243"/>
      <c r="FM61" s="224"/>
      <c r="FN61" s="92"/>
      <c r="FO61" s="92"/>
      <c r="FP61" s="92"/>
      <c r="FQ61" s="18">
        <f t="shared" si="218"/>
        <v>0</v>
      </c>
      <c r="FR61" s="263"/>
    </row>
    <row r="62" spans="3:174" ht="13.5">
      <c r="C62" s="243"/>
      <c r="D62" s="224"/>
      <c r="E62" s="92"/>
      <c r="F62" s="92"/>
      <c r="G62" s="92"/>
      <c r="H62" s="18">
        <f t="shared" si="211"/>
        <v>0</v>
      </c>
      <c r="N62" s="1" t="str">
        <f>CONCATENATE("総資産　\",P4-P11-P38,"→ \",P4)</f>
        <v>総資産　\2327→ \2397</v>
      </c>
      <c r="Y62" s="1" t="str">
        <f>CONCATENATE("総資産　\",AA4-AA11-AA38,"→ \",AA4)</f>
        <v>総資産　\1581→ \1651</v>
      </c>
      <c r="AJ62" s="1" t="str">
        <f>CONCATENATE("株　\",AL6,AM62,AN62,AO62,AP62)</f>
        <v>株　\1540 近x6 南x4 山x4 泉</v>
      </c>
      <c r="AM62" s="1" t="str">
        <f>CONCATENATE(IF(AL27=0,"",CONCATENATE(" Ｊx",AL27)),IF(AL28=0,"",CONCATENATE(" 近x",AL28)),IF(AL31=0,"",CONCATENATE(" 神x",AL31)),IF(AL32=0,"",CONCATENATE(" 京x",AL32)))</f>
        <v> 近x6</v>
      </c>
      <c r="AN62" s="1" t="str">
        <f>CONCATENATE(IF(AL33=0,"",CONCATENATE(" 地x",AL33)),IF(AL34=0,"",CONCATENATE(" 南x",AL34)),IF(AL35=0,"",CONCATENATE(" 急x",AL35)),IF(AL36=0,"",CONCATENATE(" 山x",AL36)))</f>
        <v> 南x4 山x4</v>
      </c>
      <c r="AO62" s="1" t="str">
        <f>CONCATENATE(" ",IF(AL12="○","有",""),IF(AL13="○","戸",""),IF(AL14="○","堺",""),IF(AL15="○","二",""),,IF(AL16="○","津",""),,IF(AL17="○","市",""),,IF(AL20="○","①",""),,IF(AL21="○","②",""),,IF(AL22="○","③",""),,IF(AL23="○","④",""),,IF(AL24="○","⑤",""))</f>
        <v> </v>
      </c>
      <c r="AP62" s="1" t="str">
        <f>CONCATENATE(IF(AL39="○","伍",""),IF(AL40="○","福",""),IF(AL41="○","⑥",""),IF(AL42="○","北",""),,IF(AL43="○","泉",""))</f>
        <v>泉</v>
      </c>
      <c r="AU62" s="243" t="s">
        <v>208</v>
      </c>
      <c r="AV62" s="224" t="s">
        <v>83</v>
      </c>
      <c r="AW62" s="92">
        <v>-3</v>
      </c>
      <c r="AX62" s="92">
        <v>100</v>
      </c>
      <c r="AY62" s="92">
        <v>75</v>
      </c>
      <c r="AZ62" s="18">
        <f t="shared" si="212"/>
        <v>300</v>
      </c>
      <c r="BF62" s="1" t="str">
        <f>CONCATENATE("株　\",BH6,BI62,BJ62,BK62,BL62)</f>
        <v>株　\1490 近x5 京x2 南x5 泉</v>
      </c>
      <c r="BI62" s="1" t="str">
        <f>CONCATENATE(IF(BH27=0,"",CONCATENATE(" Ｊx",BH27)),IF(BH28=0,"",CONCATENATE(" 近x",BH28)),IF(BH31=0,"",CONCATENATE(" 神x",BH31)),IF(BH32=0,"",CONCATENATE(" 京x",BH32)))</f>
        <v> 近x5 京x2</v>
      </c>
      <c r="BJ62" s="1" t="str">
        <f>CONCATENATE(IF(BH33=0,"",CONCATENATE(" 地x",BH33)),IF(BH34=0,"",CONCATENATE(" 南x",BH34)),IF(BH35=0,"",CONCATENATE(" 急x",BH35)),IF(BH36=0,"",CONCATENATE(" 山x",BH36)))</f>
        <v> 南x5</v>
      </c>
      <c r="BK62" s="1" t="str">
        <f>CONCATENATE(" ",IF(BH12="○","有",""),IF(BH13="○","戸",""),IF(BH14="○","堺",""),IF(BH15="○","二",""),,IF(BH16="○","津",""),,IF(BH17="○","市",""),,IF(BH20="○","①",""),,IF(BH21="○","②",""),,IF(BH22="○","③",""),,IF(BH23="○","④",""),,IF(BH24="○","⑤",""))</f>
        <v> </v>
      </c>
      <c r="BL62" s="1" t="str">
        <f>CONCATENATE(IF(BH39="○","伍",""),IF(BH40="○","福",""),IF(BH41="○","⑥",""),IF(BH42="○","北",""),,IF(BH43="○","泉",""))</f>
        <v>泉</v>
      </c>
      <c r="BQ62" s="1" t="str">
        <f>CONCATENATE("株　\",BS6,BT62,BU62,BV62,BW62)</f>
        <v>株　\1450 近x5 京x2 南x5 泉</v>
      </c>
      <c r="BT62" s="1" t="str">
        <f>CONCATENATE(IF(BS27=0,"",CONCATENATE(" Ｊx",BS27)),IF(BS28=0,"",CONCATENATE(" 近x",BS28)),IF(BS31=0,"",CONCATENATE(" 神x",BS31)),IF(BS32=0,"",CONCATENATE(" 京x",BS32)))</f>
        <v> 近x5 京x2</v>
      </c>
      <c r="BU62" s="1" t="str">
        <f>CONCATENATE(IF(BS33=0,"",CONCATENATE(" 地x",BS33)),IF(BS34=0,"",CONCATENATE(" 南x",BS34)),IF(BS35=0,"",CONCATENATE(" 急x",BS35)),IF(BS36=0,"",CONCATENATE(" 山x",BS36)))</f>
        <v> 南x5</v>
      </c>
      <c r="BV62" s="1" t="str">
        <f>CONCATENATE(" ",IF(BS12="○","有",""),IF(BS13="○","戸",""),IF(BS14="○","堺",""),IF(BS15="○","二",""),,IF(BS16="○","津",""),,IF(BS17="○","市",""),,IF(BS20="○","①",""),,IF(BS21="○","②",""),,IF(BS22="○","③",""),,IF(BS23="○","④",""),,IF(BS24="○","⑤",""))</f>
        <v> </v>
      </c>
      <c r="BW62" s="1" t="str">
        <f>CONCATENATE(IF(BS39="○","伍",""),IF(BS40="○","福",""),IF(BS41="○","⑥",""),IF(BS42="○","北",""),,IF(BS43="○","泉",""))</f>
        <v>泉</v>
      </c>
      <c r="CB62" s="243" t="s">
        <v>209</v>
      </c>
      <c r="CC62" s="224" t="s">
        <v>199</v>
      </c>
      <c r="CD62" s="92">
        <v>1</v>
      </c>
      <c r="CE62" s="92">
        <v>100</v>
      </c>
      <c r="CF62" s="92">
        <v>100</v>
      </c>
      <c r="CG62" s="18">
        <f t="shared" si="213"/>
        <v>-100</v>
      </c>
      <c r="CM62" s="1" t="str">
        <f>CONCATENATE("株　\",CO6,CP62,CQ62,CR62,CS62)</f>
        <v>株　\960 近x5 京x2 泉</v>
      </c>
      <c r="CP62" s="1" t="str">
        <f>CONCATENATE(IF(CO27=0,"",CONCATENATE(" Ｊx",CO27)),IF(CO28=0,"",CONCATENATE(" 近x",CO28)),IF(CO31=0,"",CONCATENATE(" 神x",CO31)),IF(CO32=0,"",CONCATENATE(" 京x",CO32)))</f>
        <v> 近x5 京x2</v>
      </c>
      <c r="CQ62" s="1">
        <f>CONCATENATE(IF(CO33=0,"",CONCATENATE(" 地x",CO33)),IF(CO34=0,"",CONCATENATE(" 南x",CO34)),IF(CO35=0,"",CONCATENATE(" 急x",CO35)),IF(CO36=0,"",CONCATENATE(" 山x",CO36)))</f>
      </c>
      <c r="CR62" s="1" t="str">
        <f>CONCATENATE(" ",IF(CO12="○","有",""),IF(CO13="○","戸",""),IF(CO14="○","堺",""),IF(CO15="○","二",""),,IF(CO16="○","津",""),,IF(CO17="○","市",""),,IF(CO20="○","①",""),,IF(CO21="○","②",""),,IF(CO22="○","③",""),,IF(CO23="○","④",""),,IF(CO24="○","⑤",""))</f>
        <v> </v>
      </c>
      <c r="CS62" s="1" t="str">
        <f>CONCATENATE(IF(CO39="○","伍",""),IF(CO40="○","福",""),IF(CO41="○","⑥",""),IF(CO42="○","北",""),,IF(CO43="○","泉",""))</f>
        <v>泉</v>
      </c>
      <c r="CX62" s="243" t="s">
        <v>44</v>
      </c>
      <c r="CY62" s="224" t="s">
        <v>83</v>
      </c>
      <c r="CZ62" s="92">
        <v>1</v>
      </c>
      <c r="DA62" s="92">
        <v>100</v>
      </c>
      <c r="DB62" s="92">
        <v>100</v>
      </c>
      <c r="DC62" s="18">
        <f t="shared" si="214"/>
        <v>-100</v>
      </c>
      <c r="DI62" s="1" t="str">
        <f>CONCATENATE("株　\",DK6,DL62,DM62,DN62,DO62)</f>
        <v>株　\1060 近x1 京x5 津②③</v>
      </c>
      <c r="DL62" s="1" t="str">
        <f>CONCATENATE(IF(DK27=0,"",CONCATENATE(" Ｊx",DK27)),IF(DK28=0,"",CONCATENATE(" 近x",DK28)),IF(DK31=0,"",CONCATENATE(" 神x",DK31)),IF(DK32=0,"",CONCATENATE(" 京x",DK32)))</f>
        <v> 近x1 京x5</v>
      </c>
      <c r="DM62" s="1">
        <f>CONCATENATE(IF(DK33=0,"",CONCATENATE(" 地x",DK33)),IF(DK34=0,"",CONCATENATE(" 南x",DK34)),IF(DK35=0,"",CONCATENATE(" 急x",DK35)),IF(DK36=0,"",CONCATENATE(" 山x",DK36)))</f>
      </c>
      <c r="DN62" s="1" t="str">
        <f>CONCATENATE(" ",IF(DK12="○","有",""),IF(DK13="○","戸",""),IF(DK14="○","堺",""),IF(DK15="○","二",""),,IF(DK16="○","津",""),,IF(DK17="○","市",""),,IF(DK20="○","①",""),,IF(DK21="○","②",""),,IF(DK22="○","③",""),,IF(DK23="○","④",""),,IF(DK24="○","⑤",""))</f>
        <v> 津②③</v>
      </c>
      <c r="DO62" s="1">
        <f>CONCATENATE(IF(DK39="○","伍",""),IF(DK40="○","福",""),IF(DK41="○","⑥",""),IF(DK42="○","北",""),,IF(DK43="○","泉",""))</f>
      </c>
      <c r="DT62" s="243"/>
      <c r="DU62" s="224"/>
      <c r="DV62" s="92"/>
      <c r="DW62" s="92"/>
      <c r="DX62" s="92"/>
      <c r="DY62" s="18">
        <f t="shared" si="215"/>
        <v>0</v>
      </c>
      <c r="EE62" s="1" t="str">
        <f>CONCATENATE("株　\",EG6,EH62,EI62,EJ62,EK62)</f>
        <v>株　\910 京x5 津②③</v>
      </c>
      <c r="EH62" s="1" t="str">
        <f>CONCATENATE(IF(EG27=0,"",CONCATENATE(" Ｊx",EG27)),IF(EG28=0,"",CONCATENATE(" 近x",EG28)),IF(EG31=0,"",CONCATENATE(" 神x",EG31)),IF(EG32=0,"",CONCATENATE(" 京x",EG32)))</f>
        <v> 京x5</v>
      </c>
      <c r="EI62" s="1">
        <f>CONCATENATE(IF(EG33=0,"",CONCATENATE(" 地x",EG33)),IF(EG34=0,"",CONCATENATE(" 南x",EG34)),IF(EG35=0,"",CONCATENATE(" 急x",EG35)),IF(EG36=0,"",CONCATENATE(" 山x",EG36)))</f>
      </c>
      <c r="EJ62" s="1" t="str">
        <f>CONCATENATE(" ",IF(EG12="○","有",""),IF(EG13="○","戸",""),IF(EG14="○","堺",""),IF(EG15="○","二",""),,IF(EG16="○","津",""),,IF(EG17="○","市",""),,IF(EG20="○","①",""),,IF(EG21="○","②",""),,IF(EG22="○","③",""),,IF(EG23="○","④",""),,IF(EG24="○","⑤",""))</f>
        <v> 津②③</v>
      </c>
      <c r="EK62" s="1">
        <f>CONCATENATE(IF(EG39="○","伍",""),IF(EG40="○","福",""),IF(EG41="○","⑥",""),IF(EG42="○","北",""),,IF(EG43="○","泉",""))</f>
      </c>
      <c r="EP62" s="243"/>
      <c r="EQ62" s="224"/>
      <c r="ER62" s="92"/>
      <c r="ES62" s="92"/>
      <c r="ET62" s="92"/>
      <c r="EU62" s="18">
        <f t="shared" si="216"/>
        <v>0</v>
      </c>
      <c r="FA62" s="1" t="str">
        <f>CONCATENATE("株　\",FC6,FD62,FE62,FF62,FG62)</f>
        <v>株　\860 京x5 津②③</v>
      </c>
      <c r="FD62" s="1" t="str">
        <f>CONCATENATE(IF(FC27=0,"",CONCATENATE(" Ｊx",FC27)),IF(FC28=0,"",CONCATENATE(" 近x",FC28)),IF(FC31=0,"",CONCATENATE(" 神x",FC31)),IF(FC32=0,"",CONCATENATE(" 京x",FC32)))</f>
        <v> 京x5</v>
      </c>
      <c r="FE62" s="1">
        <f>CONCATENATE(IF(FC33=0,"",CONCATENATE(" 地x",FC33)),IF(FC34=0,"",CONCATENATE(" 南x",FC34)),IF(FC35=0,"",CONCATENATE(" 急x",FC35)),IF(FC36=0,"",CONCATENATE(" 山x",FC36)))</f>
      </c>
      <c r="FF62" s="1" t="str">
        <f>CONCATENATE(" ",IF(FC12="○","有",""),IF(FC13="○","戸",""),IF(FC14="○","堺",""),IF(FC15="○","二",""),,IF(FC16="○","津",""),,IF(FC17="○","市",""),,IF(FC20="○","①",""),,IF(FC21="○","②",""),,IF(FC22="○","③",""),,IF(FC23="○","④",""),,IF(FC24="○","⑤",""))</f>
        <v> 津②③</v>
      </c>
      <c r="FG62" s="1">
        <f>CONCATENATE(IF(FC39="○","伍",""),IF(FC40="○","福",""),IF(FC41="○","⑥",""),IF(FC42="○","北",""),,IF(FC43="○","泉",""))</f>
      </c>
      <c r="FL62" s="243"/>
      <c r="FM62" s="224"/>
      <c r="FN62" s="92"/>
      <c r="FO62" s="92"/>
      <c r="FP62" s="92"/>
      <c r="FQ62" s="18">
        <f t="shared" si="218"/>
        <v>0</v>
      </c>
      <c r="FR62" s="263"/>
    </row>
    <row r="63" spans="3:174" ht="13.5">
      <c r="C63" s="243"/>
      <c r="D63" s="224"/>
      <c r="E63" s="92"/>
      <c r="F63" s="92"/>
      <c r="G63" s="92"/>
      <c r="H63" s="18">
        <f t="shared" si="211"/>
        <v>0</v>
      </c>
      <c r="AJ63" s="1" t="str">
        <f>CONCATENATE("総資産　\",AL4-AL11-AL38,"→ \",AL4)</f>
        <v>総資産　\1592→ \1662</v>
      </c>
      <c r="AU63" s="243" t="s">
        <v>209</v>
      </c>
      <c r="AV63" s="224" t="s">
        <v>196</v>
      </c>
      <c r="AW63" s="92">
        <v>1</v>
      </c>
      <c r="AX63" s="92">
        <v>100</v>
      </c>
      <c r="AY63" s="92">
        <v>100</v>
      </c>
      <c r="AZ63" s="18">
        <f t="shared" si="212"/>
        <v>-100</v>
      </c>
      <c r="BF63" s="1" t="str">
        <f>CONCATENATE("総資産　\",BH4-BH11-BH38,"→ \",BH4)</f>
        <v>総資産　\1842→ \1912</v>
      </c>
      <c r="BQ63" s="1" t="str">
        <f>CONCATENATE("総資産　\",BS4-BS11-BS38,"→ \",BS4)</f>
        <v>総資産　\1587→ \1657</v>
      </c>
      <c r="CB63" s="243" t="s">
        <v>201</v>
      </c>
      <c r="CC63" s="224" t="s">
        <v>83</v>
      </c>
      <c r="CD63" s="92">
        <v>1</v>
      </c>
      <c r="CE63" s="92">
        <v>45</v>
      </c>
      <c r="CF63" s="92">
        <v>45</v>
      </c>
      <c r="CG63" s="18">
        <f t="shared" si="213"/>
        <v>-45</v>
      </c>
      <c r="CM63" s="1" t="str">
        <f>CONCATENATE("総資産　\",CO4-CO11-CO38,"→ \",CO4)</f>
        <v>総資産　\1417→ \1512</v>
      </c>
      <c r="CX63" s="243" t="s">
        <v>44</v>
      </c>
      <c r="CY63" s="224" t="s">
        <v>83</v>
      </c>
      <c r="CZ63" s="92">
        <v>1</v>
      </c>
      <c r="DA63" s="92">
        <v>100</v>
      </c>
      <c r="DB63" s="92">
        <v>100</v>
      </c>
      <c r="DC63" s="18">
        <f t="shared" si="214"/>
        <v>-100</v>
      </c>
      <c r="DI63" s="1" t="str">
        <f>CONCATENATE("総資産　\",DK4-DK11-DK38,"→ \",DK4)</f>
        <v>総資産　\1175→ \1200</v>
      </c>
      <c r="DT63" s="243"/>
      <c r="DU63" s="224"/>
      <c r="DV63" s="92"/>
      <c r="DW63" s="92"/>
      <c r="DX63" s="92"/>
      <c r="DY63" s="18">
        <f t="shared" si="215"/>
        <v>0</v>
      </c>
      <c r="EE63" s="1" t="str">
        <f>CONCATENATE("総資産　\",EG4-EG11-EG38,"→ \",EG4)</f>
        <v>総資産　\1020→ \1045</v>
      </c>
      <c r="EP63" s="243"/>
      <c r="EQ63" s="224"/>
      <c r="ER63" s="92"/>
      <c r="ES63" s="92"/>
      <c r="ET63" s="92"/>
      <c r="EU63" s="18">
        <f t="shared" si="216"/>
        <v>0</v>
      </c>
      <c r="FA63" s="1" t="str">
        <f>CONCATENATE("総資産　\",FC4-FC11-FC38,"→ \",FC4)</f>
        <v>総資産　\865→ \890</v>
      </c>
      <c r="FL63" s="243"/>
      <c r="FM63" s="224"/>
      <c r="FN63" s="92"/>
      <c r="FO63" s="92"/>
      <c r="FP63" s="92"/>
      <c r="FQ63" s="18">
        <f t="shared" si="218"/>
        <v>0</v>
      </c>
      <c r="FR63" s="263"/>
    </row>
    <row r="64" spans="3:174" ht="13.5">
      <c r="C64" s="243"/>
      <c r="D64" s="224"/>
      <c r="E64" s="92"/>
      <c r="F64" s="92"/>
      <c r="G64" s="92"/>
      <c r="H64" s="18">
        <f t="shared" si="211"/>
        <v>0</v>
      </c>
      <c r="N64" s="1" t="str">
        <f>Q3</f>
        <v>えび様</v>
      </c>
      <c r="Y64" s="1" t="str">
        <f>AB3</f>
        <v>えび様</v>
      </c>
      <c r="AU64" s="243" t="s">
        <v>210</v>
      </c>
      <c r="AV64" s="224" t="s">
        <v>83</v>
      </c>
      <c r="AW64" s="92">
        <v>1</v>
      </c>
      <c r="AX64" s="92">
        <v>80</v>
      </c>
      <c r="AY64" s="92">
        <v>80</v>
      </c>
      <c r="AZ64" s="18">
        <f t="shared" si="212"/>
        <v>-80</v>
      </c>
      <c r="CB64" s="243" t="s">
        <v>209</v>
      </c>
      <c r="CC64" s="224" t="s">
        <v>199</v>
      </c>
      <c r="CD64" s="92">
        <v>1</v>
      </c>
      <c r="CE64" s="92">
        <v>100</v>
      </c>
      <c r="CF64" s="92">
        <v>100</v>
      </c>
      <c r="CG64" s="18">
        <f t="shared" si="213"/>
        <v>-100</v>
      </c>
      <c r="CX64" s="243"/>
      <c r="CY64" s="224"/>
      <c r="CZ64" s="92"/>
      <c r="DA64" s="92"/>
      <c r="DB64" s="92"/>
      <c r="DC64" s="18">
        <f t="shared" si="214"/>
        <v>0</v>
      </c>
      <c r="DT64" s="243"/>
      <c r="DU64" s="224"/>
      <c r="DV64" s="92"/>
      <c r="DW64" s="92"/>
      <c r="DX64" s="92"/>
      <c r="DY64" s="18">
        <f t="shared" si="215"/>
        <v>0</v>
      </c>
      <c r="EP64" s="243"/>
      <c r="EQ64" s="224"/>
      <c r="ER64" s="92"/>
      <c r="ES64" s="92"/>
      <c r="ET64" s="92"/>
      <c r="EU64" s="18">
        <f t="shared" si="216"/>
        <v>0</v>
      </c>
      <c r="FL64" s="243"/>
      <c r="FM64" s="224"/>
      <c r="FN64" s="92"/>
      <c r="FO64" s="92"/>
      <c r="FP64" s="92"/>
      <c r="FQ64" s="18">
        <f t="shared" si="218"/>
        <v>0</v>
      </c>
      <c r="FR64" s="263"/>
    </row>
    <row r="65" spans="3:174" ht="14.25" thickBot="1">
      <c r="C65" s="248"/>
      <c r="D65" s="238"/>
      <c r="E65" s="95"/>
      <c r="F65" s="95"/>
      <c r="G65" s="95"/>
      <c r="H65" s="16">
        <f t="shared" si="211"/>
        <v>0</v>
      </c>
      <c r="N65" s="1" t="str">
        <f>CONCATENATE("現金　\",Q5-Q11-Q38,"→ \",Q5)</f>
        <v>現金　\425→ \605</v>
      </c>
      <c r="Y65" s="1" t="str">
        <f>CONCATENATE("現金　\",AB5-AB11-AB38,"→ \",AB5)</f>
        <v>現金　\226→ \316</v>
      </c>
      <c r="AJ65" s="1" t="str">
        <f>AM3</f>
        <v>えび様</v>
      </c>
      <c r="AU65" s="248" t="s">
        <v>195</v>
      </c>
      <c r="AV65" s="238" t="s">
        <v>196</v>
      </c>
      <c r="AW65" s="95">
        <v>-3</v>
      </c>
      <c r="AX65" s="95">
        <v>60</v>
      </c>
      <c r="AY65" s="95">
        <v>45</v>
      </c>
      <c r="AZ65" s="16">
        <f t="shared" si="212"/>
        <v>180</v>
      </c>
      <c r="BF65" s="1" t="str">
        <f>BI3</f>
        <v>えび様</v>
      </c>
      <c r="BQ65" s="1" t="str">
        <f>BT3</f>
        <v>えび様</v>
      </c>
      <c r="CB65" s="248" t="s">
        <v>201</v>
      </c>
      <c r="CC65" s="238" t="s">
        <v>83</v>
      </c>
      <c r="CD65" s="95">
        <v>1</v>
      </c>
      <c r="CE65" s="95">
        <v>45</v>
      </c>
      <c r="CF65" s="95">
        <v>45</v>
      </c>
      <c r="CG65" s="16">
        <f t="shared" si="213"/>
        <v>-45</v>
      </c>
      <c r="CM65" s="1" t="str">
        <f>CP3</f>
        <v>えび様</v>
      </c>
      <c r="CX65" s="248"/>
      <c r="CY65" s="238"/>
      <c r="CZ65" s="95"/>
      <c r="DA65" s="95"/>
      <c r="DB65" s="95"/>
      <c r="DC65" s="16">
        <f t="shared" si="214"/>
        <v>0</v>
      </c>
      <c r="DI65" s="1" t="str">
        <f>DL3</f>
        <v>えび様</v>
      </c>
      <c r="DT65" s="248"/>
      <c r="DU65" s="238"/>
      <c r="DV65" s="95"/>
      <c r="DW65" s="95"/>
      <c r="DX65" s="95"/>
      <c r="DY65" s="16">
        <f t="shared" si="215"/>
        <v>0</v>
      </c>
      <c r="EE65" s="1" t="str">
        <f>EH3</f>
        <v>えび様</v>
      </c>
      <c r="EP65" s="248"/>
      <c r="EQ65" s="238"/>
      <c r="ER65" s="95"/>
      <c r="ES65" s="95"/>
      <c r="ET65" s="95"/>
      <c r="EU65" s="16">
        <f t="shared" si="216"/>
        <v>0</v>
      </c>
      <c r="FA65" s="1" t="str">
        <f>FD3</f>
        <v>えび様</v>
      </c>
      <c r="FL65" s="243"/>
      <c r="FM65" s="224"/>
      <c r="FN65" s="92"/>
      <c r="FO65" s="92"/>
      <c r="FP65" s="92"/>
      <c r="FQ65" s="18">
        <f t="shared" si="218"/>
        <v>0</v>
      </c>
      <c r="FR65" s="263"/>
    </row>
    <row r="66" spans="3:174" ht="13.5" customHeight="1">
      <c r="C66" s="242"/>
      <c r="D66" s="235"/>
      <c r="E66" s="89"/>
      <c r="F66" s="89"/>
      <c r="G66" s="89"/>
      <c r="H66" s="27">
        <f t="shared" si="211"/>
        <v>0</v>
      </c>
      <c r="I66" s="488" t="s">
        <v>99</v>
      </c>
      <c r="N66" s="1" t="str">
        <f>CONCATENATE("株　\",Q6,Q66,R66,S66,T66)</f>
        <v>株　\1135 近x1 急x1 山x5 ⑤⑥北</v>
      </c>
      <c r="Q66" s="1" t="str">
        <f>CONCATENATE(IF(Q27=0,"",CONCATENATE(" Ｊx",Q27)),IF(Q28=0,"",CONCATENATE(" 近x",Q28)),IF(Q31=0,"",CONCATENATE(" 神x",Q31)),IF(Q32=0,"",CONCATENATE(" 京x",Q32)))</f>
        <v> 近x1</v>
      </c>
      <c r="R66" s="1" t="str">
        <f>CONCATENATE(IF(Q33=0,"",CONCATENATE(" 地x",Q33)),IF(Q34=0,"",CONCATENATE(" 南x",Q34)),IF(Q35=0,"",CONCATENATE(" 急x",Q35)),IF(Q36=0,"",CONCATENATE(" 山x",Q36)))</f>
        <v> 急x1 山x5</v>
      </c>
      <c r="S66" s="1" t="str">
        <f>CONCATENATE(" ",IF(Q12="○","有",""),IF(Q13="○","戸",""),IF(Q14="○","堺",""),IF(Q15="○","二",""),,IF(Q16="○","津",""),,IF(Q17="○","市",""),,IF(Q20="○","①",""),,IF(Q21="○","②",""),,IF(Q22="○","③",""),,IF(Q23="○","④",""),,IF(Q24="○","⑤",""))</f>
        <v> ⑤</v>
      </c>
      <c r="T66" s="1" t="str">
        <f>CONCATENATE(IF(Q39="○","伍",""),IF(Q40="○","福",""),IF(Q41="○","⑥",""),IF(Q42="○","北",""),,IF(Q43="○","泉",""))</f>
        <v>⑥北</v>
      </c>
      <c r="Y66" s="1" t="str">
        <f>CONCATENATE("株　\",AB6,AB66,AC66,AD66,AE66)</f>
        <v>株　\1145 近x1 急x1 山x5 ⑤⑥北</v>
      </c>
      <c r="AB66" s="1" t="str">
        <f>CONCATENATE(IF(AB27=0,"",CONCATENATE(" Ｊx",AB27)),IF(AB28=0,"",CONCATENATE(" 近x",AB28)),IF(AB31=0,"",CONCATENATE(" 神x",AB31)),IF(AB32=0,"",CONCATENATE(" 京x",AB32)))</f>
        <v> 近x1</v>
      </c>
      <c r="AC66" s="1" t="str">
        <f>CONCATENATE(IF(AB33=0,"",CONCATENATE(" 地x",AB33)),IF(AB34=0,"",CONCATENATE(" 南x",AB34)),IF(AB35=0,"",CONCATENATE(" 急x",AB35)),IF(AB36=0,"",CONCATENATE(" 山x",AB36)))</f>
        <v> 急x1 山x5</v>
      </c>
      <c r="AD66" s="1" t="str">
        <f>CONCATENATE(" ",IF(AB12="○","有",""),IF(AB13="○","戸",""),IF(AB14="○","堺",""),IF(AB15="○","二",""),,IF(AB16="○","津",""),,IF(AB17="○","市",""),,IF(AB20="○","①",""),,IF(AB21="○","②",""),,IF(AB22="○","③",""),,IF(AB23="○","④",""),,IF(AB24="○","⑤",""))</f>
        <v> ⑤</v>
      </c>
      <c r="AE66" s="1" t="str">
        <f>CONCATENATE(IF(AB39="○","伍",""),IF(AB40="○","福",""),IF(AB41="○","⑥",""),IF(AB42="○","北",""),,IF(AB43="○","泉",""))</f>
        <v>⑥北</v>
      </c>
      <c r="AJ66" s="1" t="str">
        <f>CONCATENATE("現金　\",AM5-AM11-AM38,"→ \",AM5)</f>
        <v>現金　\70→ \195</v>
      </c>
      <c r="AU66" s="242" t="s">
        <v>209</v>
      </c>
      <c r="AV66" s="235" t="s">
        <v>196</v>
      </c>
      <c r="AW66" s="89">
        <v>1</v>
      </c>
      <c r="AX66" s="89">
        <v>100</v>
      </c>
      <c r="AY66" s="89">
        <v>100</v>
      </c>
      <c r="AZ66" s="27">
        <f t="shared" si="212"/>
        <v>-100</v>
      </c>
      <c r="BA66" s="488" t="s">
        <v>99</v>
      </c>
      <c r="BF66" s="1" t="str">
        <f>CONCATENATE("現金　\",BI5-BI11-BI38,"→ \",BI5)</f>
        <v>現金　\115→ \175</v>
      </c>
      <c r="BQ66" s="1" t="str">
        <f>CONCATENATE("現金　\",BT5-BT11-BT38,"→ \",BT5)</f>
        <v>現金　\107→ \167</v>
      </c>
      <c r="CB66" s="242"/>
      <c r="CC66" s="235" t="s">
        <v>83</v>
      </c>
      <c r="CD66" s="89">
        <v>1</v>
      </c>
      <c r="CE66" s="89">
        <v>200</v>
      </c>
      <c r="CF66" s="89">
        <v>200</v>
      </c>
      <c r="CG66" s="27">
        <f t="shared" si="213"/>
        <v>-200</v>
      </c>
      <c r="CH66" s="488" t="s">
        <v>99</v>
      </c>
      <c r="CM66" s="1" t="str">
        <f>CONCATENATE("現金　\",CP5-CP11-CP38,"→ \",CP5)</f>
        <v>現金　\266→ \351</v>
      </c>
      <c r="CX66" s="242"/>
      <c r="CY66" s="235"/>
      <c r="CZ66" s="89"/>
      <c r="DA66" s="89"/>
      <c r="DB66" s="89"/>
      <c r="DC66" s="27">
        <f t="shared" si="214"/>
        <v>0</v>
      </c>
      <c r="DD66" s="488" t="s">
        <v>99</v>
      </c>
      <c r="DI66" s="1" t="str">
        <f>CONCATENATE("現金　\",DL5-DL11-DL38,"→ \",DL5)</f>
        <v>現金　\273→ \358</v>
      </c>
      <c r="DT66" s="242"/>
      <c r="DU66" s="235"/>
      <c r="DV66" s="89"/>
      <c r="DW66" s="89"/>
      <c r="DX66" s="89"/>
      <c r="DY66" s="27">
        <f t="shared" si="215"/>
        <v>0</v>
      </c>
      <c r="DZ66" s="488" t="s">
        <v>99</v>
      </c>
      <c r="EE66" s="1" t="str">
        <f>CONCATENATE("現金　\",EH5-EH11-EH38,"→ \",EH5)</f>
        <v>現金　\225→ \310</v>
      </c>
      <c r="EP66" s="242"/>
      <c r="EQ66" s="235"/>
      <c r="ER66" s="89"/>
      <c r="ES66" s="89"/>
      <c r="ET66" s="89"/>
      <c r="EU66" s="27">
        <f t="shared" si="216"/>
        <v>0</v>
      </c>
      <c r="EV66" s="488" t="s">
        <v>99</v>
      </c>
      <c r="FA66" s="1" t="str">
        <f>CONCATENATE("現金　\",FD5-FD11-FD38,"→ \",FD5)</f>
        <v>現金　\450→ \475</v>
      </c>
      <c r="FL66" s="243"/>
      <c r="FM66" s="224"/>
      <c r="FN66" s="92"/>
      <c r="FO66" s="92"/>
      <c r="FP66" s="92"/>
      <c r="FQ66" s="18">
        <f t="shared" si="218"/>
        <v>0</v>
      </c>
      <c r="FR66" s="263"/>
    </row>
    <row r="67" spans="3:174" ht="13.5">
      <c r="C67" s="243"/>
      <c r="D67" s="224"/>
      <c r="E67" s="92"/>
      <c r="F67" s="92"/>
      <c r="G67" s="92"/>
      <c r="H67" s="18">
        <f t="shared" si="211"/>
        <v>0</v>
      </c>
      <c r="I67" s="488"/>
      <c r="N67" s="1" t="str">
        <f>CONCATENATE("総資産　\",Q4-Q11-Q38,"→ \",Q4)</f>
        <v>総資産　\1560→ \1740</v>
      </c>
      <c r="Y67" s="1" t="str">
        <f>CONCATENATE("総資産　\",AB4-AB11-AB38,"→ \",AB4)</f>
        <v>総資産　\1371→ \1461</v>
      </c>
      <c r="AJ67" s="1" t="str">
        <f>CONCATENATE("株　\",AM6,AM67,AN67,AO67,AP67)</f>
        <v>株　\1200 近x1 急x1 山x5 ⑤⑥北</v>
      </c>
      <c r="AM67" s="1" t="str">
        <f>CONCATENATE(IF(AM27=0,"",CONCATENATE(" Ｊx",AM27)),IF(AM28=0,"",CONCATENATE(" 近x",AM28)),IF(AM31=0,"",CONCATENATE(" 神x",AM31)),IF(AM32=0,"",CONCATENATE(" 京x",AM32)))</f>
        <v> 近x1</v>
      </c>
      <c r="AN67" s="1" t="str">
        <f>CONCATENATE(IF(AM33=0,"",CONCATENATE(" 地x",AM33)),IF(AM34=0,"",CONCATENATE(" 南x",AM34)),IF(AM35=0,"",CONCATENATE(" 急x",AM35)),IF(AM36=0,"",CONCATENATE(" 山x",AM36)))</f>
        <v> 急x1 山x5</v>
      </c>
      <c r="AO67" s="1" t="str">
        <f>CONCATENATE(" ",IF(AM12="○","有",""),IF(AM13="○","戸",""),IF(AM14="○","堺",""),IF(AM15="○","二",""),,IF(AM16="○","津",""),,IF(AM17="○","市",""),,IF(AM20="○","①",""),,IF(AM21="○","②",""),,IF(AM22="○","③",""),,IF(AM23="○","④",""),,IF(AM24="○","⑤",""))</f>
        <v> ⑤</v>
      </c>
      <c r="AP67" s="1" t="str">
        <f>CONCATENATE(IF(AM39="○","伍",""),IF(AM40="○","福",""),IF(AM41="○","⑥",""),IF(AM42="○","北",""),,IF(AM43="○","泉",""))</f>
        <v>⑥北</v>
      </c>
      <c r="AU67" s="243" t="s">
        <v>208</v>
      </c>
      <c r="AV67" s="224" t="s">
        <v>196</v>
      </c>
      <c r="AW67" s="92">
        <v>-1</v>
      </c>
      <c r="AX67" s="92">
        <v>75</v>
      </c>
      <c r="AY67" s="92">
        <v>70</v>
      </c>
      <c r="AZ67" s="18">
        <f t="shared" si="212"/>
        <v>75</v>
      </c>
      <c r="BA67" s="488"/>
      <c r="BF67" s="1" t="str">
        <f>CONCATENATE("株　\",BI6,BI67,BJ67,BK67,BL67)</f>
        <v>株　\1140 近x2 急x1 山x5 ⑤北</v>
      </c>
      <c r="BI67" s="1" t="str">
        <f>CONCATENATE(IF(BI27=0,"",CONCATENATE(" Ｊx",BI27)),IF(BI28=0,"",CONCATENATE(" 近x",BI28)),IF(BI31=0,"",CONCATENATE(" 神x",BI31)),IF(BI32=0,"",CONCATENATE(" 京x",BI32)))</f>
        <v> 近x2</v>
      </c>
      <c r="BJ67" s="1" t="str">
        <f>CONCATENATE(IF(BI33=0,"",CONCATENATE(" 地x",BI33)),IF(BI34=0,"",CONCATENATE(" 南x",BI34)),IF(BI35=0,"",CONCATENATE(" 急x",BI35)),IF(BI36=0,"",CONCATENATE(" 山x",BI36)))</f>
        <v> 急x1 山x5</v>
      </c>
      <c r="BK67" s="1" t="str">
        <f>CONCATENATE(" ",IF(BI12="○","有",""),IF(BI13="○","戸",""),IF(BI14="○","堺",""),IF(BI15="○","二",""),,IF(BI16="○","津",""),,IF(BI17="○","市",""),,IF(BI20="○","①",""),,IF(BI21="○","②",""),,IF(BI22="○","③",""),,IF(BI23="○","④",""),,IF(BI24="○","⑤",""))</f>
        <v> ⑤</v>
      </c>
      <c r="BL67" s="1" t="str">
        <f>CONCATENATE(IF(BI39="○","伍",""),IF(BI40="○","福",""),IF(BI41="○","⑥",""),IF(BI42="○","北",""),,IF(BI43="○","泉",""))</f>
        <v>北</v>
      </c>
      <c r="BQ67" s="1" t="str">
        <f>CONCATENATE("株　\",BT6,BT67,BU67,BV67,BW67)</f>
        <v>株　\1145 近x1 急x1 山x5 ④⑤北</v>
      </c>
      <c r="BT67" s="1" t="str">
        <f>CONCATENATE(IF(BT27=0,"",CONCATENATE(" Ｊx",BT27)),IF(BT28=0,"",CONCATENATE(" 近x",BT28)),IF(BT31=0,"",CONCATENATE(" 神x",BT31)),IF(BT32=0,"",CONCATENATE(" 京x",BT32)))</f>
        <v> 近x1</v>
      </c>
      <c r="BU67" s="1" t="str">
        <f>CONCATENATE(IF(BT33=0,"",CONCATENATE(" 地x",BT33)),IF(BT34=0,"",CONCATENATE(" 南x",BT34)),IF(BT35=0,"",CONCATENATE(" 急x",BT35)),IF(BT36=0,"",CONCATENATE(" 山x",BT36)))</f>
        <v> 急x1 山x5</v>
      </c>
      <c r="BV67" s="1" t="str">
        <f>CONCATENATE(" ",IF(BT12="○","有",""),IF(BT13="○","戸",""),IF(BT14="○","堺",""),IF(BT15="○","二",""),,IF(BT16="○","津",""),,IF(BT17="○","市",""),,IF(BT20="○","①",""),,IF(BT21="○","②",""),,IF(BT22="○","③",""),,IF(BT23="○","④",""),,IF(BT24="○","⑤",""))</f>
        <v> ④⑤</v>
      </c>
      <c r="BW67" s="1" t="str">
        <f>CONCATENATE(IF(BT39="○","伍",""),IF(BT40="○","福",""),IF(BT41="○","⑥",""),IF(BT42="○","北",""),,IF(BT43="○","泉",""))</f>
        <v>北</v>
      </c>
      <c r="CB67" s="243" t="s">
        <v>44</v>
      </c>
      <c r="CC67" s="224" t="s">
        <v>83</v>
      </c>
      <c r="CD67" s="92">
        <v>1</v>
      </c>
      <c r="CE67" s="92">
        <v>100</v>
      </c>
      <c r="CF67" s="92">
        <v>90</v>
      </c>
      <c r="CG67" s="18">
        <f t="shared" si="213"/>
        <v>-100</v>
      </c>
      <c r="CH67" s="488"/>
      <c r="CM67" s="1" t="str">
        <f>CONCATENATE("株　\",CP6,CP67,CQ67,CR67,CS67)</f>
        <v>株　\940 近x1 急x5 ④⑤北</v>
      </c>
      <c r="CP67" s="1" t="str">
        <f>CONCATENATE(IF(CP27=0,"",CONCATENATE(" Ｊx",CP27)),IF(CP28=0,"",CONCATENATE(" 近x",CP28)),IF(CP31=0,"",CONCATENATE(" 神x",CP31)),IF(CP32=0,"",CONCATENATE(" 京x",CP32)))</f>
        <v> 近x1</v>
      </c>
      <c r="CQ67" s="1" t="str">
        <f>CONCATENATE(IF(CP33=0,"",CONCATENATE(" 地x",CP33)),IF(CP34=0,"",CONCATENATE(" 南x",CP34)),IF(CP35=0,"",CONCATENATE(" 急x",CP35)),IF(CP36=0,"",CONCATENATE(" 山x",CP36)))</f>
        <v> 急x5</v>
      </c>
      <c r="CR67" s="1" t="str">
        <f>CONCATENATE(" ",IF(CP12="○","有",""),IF(CP13="○","戸",""),IF(CP14="○","堺",""),IF(CP15="○","二",""),,IF(CP16="○","津",""),,IF(CP17="○","市",""),,IF(CP20="○","①",""),,IF(CP21="○","②",""),,IF(CP22="○","③",""),,IF(CP23="○","④",""),,IF(CP24="○","⑤",""))</f>
        <v> ④⑤</v>
      </c>
      <c r="CS67" s="1" t="str">
        <f>CONCATENATE(IF(CP39="○","伍",""),IF(CP40="○","福",""),IF(CP41="○","⑥",""),IF(CP42="○","北",""),,IF(CP43="○","泉",""))</f>
        <v>北</v>
      </c>
      <c r="CX67" s="243"/>
      <c r="CY67" s="224"/>
      <c r="CZ67" s="92"/>
      <c r="DA67" s="92"/>
      <c r="DB67" s="92"/>
      <c r="DC67" s="18">
        <f t="shared" si="214"/>
        <v>0</v>
      </c>
      <c r="DD67" s="488"/>
      <c r="DI67" s="1" t="str">
        <f>CONCATENATE("株　\",DL6,DL67,DM67,DN67,DO67)</f>
        <v>株　\740 神x1 戸堺④⑤北</v>
      </c>
      <c r="DL67" s="1" t="str">
        <f>CONCATENATE(IF(DL27=0,"",CONCATENATE(" Ｊx",DL27)),IF(DL28=0,"",CONCATENATE(" 近x",DL28)),IF(DL31=0,"",CONCATENATE(" 神x",DL31)),IF(DL32=0,"",CONCATENATE(" 京x",DL32)))</f>
        <v> 神x1</v>
      </c>
      <c r="DM67" s="1">
        <f>CONCATENATE(IF(DL33=0,"",CONCATENATE(" 地x",DL33)),IF(DL34=0,"",CONCATENATE(" 南x",DL34)),IF(DL35=0,"",CONCATENATE(" 急x",DL35)),IF(DL36=0,"",CONCATENATE(" 山x",DL36)))</f>
      </c>
      <c r="DN67" s="1" t="str">
        <f>CONCATENATE(" ",IF(DL12="○","有",""),IF(DL13="○","戸",""),IF(DL14="○","堺",""),IF(DL15="○","二",""),,IF(DL16="○","津",""),,IF(DL17="○","市",""),,IF(DL20="○","①",""),,IF(DL21="○","②",""),,IF(DL22="○","③",""),,IF(DL23="○","④",""),,IF(DL24="○","⑤",""))</f>
        <v> 戸堺④⑤</v>
      </c>
      <c r="DO67" s="1" t="str">
        <f>CONCATENATE(IF(DL39="○","伍",""),IF(DL40="○","福",""),IF(DL41="○","⑥",""),IF(DL42="○","北",""),,IF(DL43="○","泉",""))</f>
        <v>北</v>
      </c>
      <c r="DT67" s="243"/>
      <c r="DU67" s="224"/>
      <c r="DV67" s="92"/>
      <c r="DW67" s="92"/>
      <c r="DX67" s="92"/>
      <c r="DY67" s="18">
        <f t="shared" si="215"/>
        <v>0</v>
      </c>
      <c r="DZ67" s="488"/>
      <c r="EE67" s="1" t="str">
        <f>CONCATENATE("株　\",EH6,EH67,EI67,EJ67,EK67)</f>
        <v>株　\650 戸堺④⑤北</v>
      </c>
      <c r="EH67" s="1">
        <f>CONCATENATE(IF(EH27=0,"",CONCATENATE(" Ｊx",EH27)),IF(EH28=0,"",CONCATENATE(" 近x",EH28)),IF(EH31=0,"",CONCATENATE(" 神x",EH31)),IF(EH32=0,"",CONCATENATE(" 京x",EH32)))</f>
      </c>
      <c r="EI67" s="1">
        <f>CONCATENATE(IF(EH33=0,"",CONCATENATE(" 地x",EH33)),IF(EH34=0,"",CONCATENATE(" 南x",EH34)),IF(EH35=0,"",CONCATENATE(" 急x",EH35)),IF(EH36=0,"",CONCATENATE(" 山x",EH36)))</f>
      </c>
      <c r="EJ67" s="1" t="str">
        <f>CONCATENATE(" ",IF(EH12="○","有",""),IF(EH13="○","戸",""),IF(EH14="○","堺",""),IF(EH15="○","二",""),,IF(EH16="○","津",""),,IF(EH17="○","市",""),,IF(EH20="○","①",""),,IF(EH21="○","②",""),,IF(EH22="○","③",""),,IF(EH23="○","④",""),,IF(EH24="○","⑤",""))</f>
        <v> 戸堺④⑤</v>
      </c>
      <c r="EK67" s="1" t="str">
        <f>CONCATENATE(IF(EH39="○","伍",""),IF(EH40="○","福",""),IF(EH41="○","⑥",""),IF(EH42="○","北",""),,IF(EH43="○","泉",""))</f>
        <v>北</v>
      </c>
      <c r="EP67" s="243"/>
      <c r="EQ67" s="224"/>
      <c r="ER67" s="92"/>
      <c r="ES67" s="92"/>
      <c r="ET67" s="92"/>
      <c r="EU67" s="18">
        <f t="shared" si="216"/>
        <v>0</v>
      </c>
      <c r="EV67" s="488"/>
      <c r="FA67" s="1" t="str">
        <f>CONCATENATE("株　\",FD6,FD67,FE67,FF67,FG67)</f>
        <v>株　\370 戸堺④⑤</v>
      </c>
      <c r="FD67" s="1">
        <f>CONCATENATE(IF(FD27=0,"",CONCATENATE(" Ｊx",FD27)),IF(FD28=0,"",CONCATENATE(" 近x",FD28)),IF(FD31=0,"",CONCATENATE(" 神x",FD31)),IF(FD32=0,"",CONCATENATE(" 京x",FD32)))</f>
      </c>
      <c r="FE67" s="1">
        <f>CONCATENATE(IF(FD33=0,"",CONCATENATE(" 地x",FD33)),IF(FD34=0,"",CONCATENATE(" 南x",FD34)),IF(FD35=0,"",CONCATENATE(" 急x",FD35)),IF(FD36=0,"",CONCATENATE(" 山x",FD36)))</f>
      </c>
      <c r="FF67" s="1" t="str">
        <f>CONCATENATE(" ",IF(FD12="○","有",""),IF(FD13="○","戸",""),IF(FD14="○","堺",""),IF(FD15="○","二",""),,IF(FD16="○","津",""),,IF(FD17="○","市",""),,IF(FD20="○","①",""),,IF(FD21="○","②",""),,IF(FD22="○","③",""),,IF(FD23="○","④",""),,IF(FD24="○","⑤",""))</f>
        <v> 戸堺④⑤</v>
      </c>
      <c r="FG67" s="1">
        <f>CONCATENATE(IF(FD39="○","伍",""),IF(FD40="○","福",""),IF(FD41="○","⑥",""),IF(FD42="○","北",""),,IF(FD43="○","泉",""))</f>
      </c>
      <c r="FL67" s="243"/>
      <c r="FM67" s="224"/>
      <c r="FN67" s="92"/>
      <c r="FO67" s="92"/>
      <c r="FP67" s="92"/>
      <c r="FQ67" s="18">
        <f t="shared" si="218"/>
        <v>0</v>
      </c>
      <c r="FR67" s="263"/>
    </row>
    <row r="68" spans="3:174" ht="13.5">
      <c r="C68" s="243"/>
      <c r="D68" s="224"/>
      <c r="E68" s="92"/>
      <c r="F68" s="92"/>
      <c r="G68" s="92"/>
      <c r="H68" s="18">
        <f t="shared" si="211"/>
        <v>0</v>
      </c>
      <c r="I68" s="488"/>
      <c r="AJ68" s="1" t="str">
        <f>CONCATENATE("総資産　\",AM4-AM11-AM38,"→ \",AM4)</f>
        <v>総資産　\1270→ \1395</v>
      </c>
      <c r="AU68" s="243" t="s">
        <v>209</v>
      </c>
      <c r="AV68" s="224" t="s">
        <v>196</v>
      </c>
      <c r="AW68" s="92">
        <v>1</v>
      </c>
      <c r="AX68" s="92">
        <v>100</v>
      </c>
      <c r="AY68" s="92">
        <v>100</v>
      </c>
      <c r="AZ68" s="18">
        <f t="shared" si="212"/>
        <v>-100</v>
      </c>
      <c r="BA68" s="488"/>
      <c r="BF68" s="1" t="str">
        <f>CONCATENATE("総資産　\",BI4-BI11-BI38,"→ \",BI4)</f>
        <v>総資産　\1255→ \1315</v>
      </c>
      <c r="BQ68" s="1" t="str">
        <f>CONCATENATE("総資産　\",BT4-BT11-BT38,"→ \",BT4)</f>
        <v>総資産　\1252→ \1312</v>
      </c>
      <c r="CB68" s="243" t="s">
        <v>210</v>
      </c>
      <c r="CC68" s="224" t="s">
        <v>83</v>
      </c>
      <c r="CD68" s="92">
        <v>1</v>
      </c>
      <c r="CE68" s="92">
        <v>80</v>
      </c>
      <c r="CF68" s="92">
        <v>80</v>
      </c>
      <c r="CG68" s="18">
        <f t="shared" si="213"/>
        <v>-80</v>
      </c>
      <c r="CH68" s="488"/>
      <c r="CM68" s="1" t="str">
        <f>CONCATENATE("総資産　\",CP4-CP11-CP38,"→ \",CP4)</f>
        <v>総資産　\1206→ \1291</v>
      </c>
      <c r="CX68" s="243"/>
      <c r="CY68" s="224"/>
      <c r="CZ68" s="92"/>
      <c r="DA68" s="92"/>
      <c r="DB68" s="92"/>
      <c r="DC68" s="18">
        <f t="shared" si="214"/>
        <v>0</v>
      </c>
      <c r="DD68" s="488"/>
      <c r="DI68" s="1" t="str">
        <f>CONCATENATE("総資産　\",DL4-DL11-DL38,"→ \",DL4)</f>
        <v>総資産　\1013→ \1098</v>
      </c>
      <c r="DT68" s="243"/>
      <c r="DU68" s="224"/>
      <c r="DV68" s="92"/>
      <c r="DW68" s="92"/>
      <c r="DX68" s="92"/>
      <c r="DY68" s="18">
        <f t="shared" si="215"/>
        <v>0</v>
      </c>
      <c r="DZ68" s="488"/>
      <c r="EE68" s="1" t="str">
        <f>CONCATENATE("総資産　\",EH4-EH11-EH38,"→ \",EH4)</f>
        <v>総資産　\875→ \960</v>
      </c>
      <c r="EP68" s="243"/>
      <c r="EQ68" s="224"/>
      <c r="ER68" s="92"/>
      <c r="ES68" s="92"/>
      <c r="ET68" s="92"/>
      <c r="EU68" s="18">
        <f t="shared" si="216"/>
        <v>0</v>
      </c>
      <c r="EV68" s="488"/>
      <c r="FA68" s="1" t="str">
        <f>CONCATENATE("総資産　\",FD4-FD11-FD38,"→ \",FD4)</f>
        <v>総資産　\820→ \845</v>
      </c>
      <c r="FL68" s="243"/>
      <c r="FM68" s="224"/>
      <c r="FN68" s="92"/>
      <c r="FO68" s="92"/>
      <c r="FP68" s="92"/>
      <c r="FQ68" s="18">
        <f aca="true" t="shared" si="219" ref="FQ68:FQ73">-FN68*FO68</f>
        <v>0</v>
      </c>
      <c r="FR68" s="263"/>
    </row>
    <row r="69" spans="3:174" ht="14.25" thickBot="1">
      <c r="C69" s="243"/>
      <c r="D69" s="224"/>
      <c r="E69" s="92"/>
      <c r="F69" s="92"/>
      <c r="G69" s="92"/>
      <c r="H69" s="18">
        <f t="shared" si="211"/>
        <v>0</v>
      </c>
      <c r="I69" s="488"/>
      <c r="N69" s="1" t="s">
        <v>102</v>
      </c>
      <c r="Y69" s="1" t="s">
        <v>102</v>
      </c>
      <c r="AU69" s="243" t="s">
        <v>195</v>
      </c>
      <c r="AV69" s="224" t="s">
        <v>83</v>
      </c>
      <c r="AW69" s="92">
        <v>1</v>
      </c>
      <c r="AX69" s="92">
        <v>45</v>
      </c>
      <c r="AY69" s="92">
        <v>45</v>
      </c>
      <c r="AZ69" s="18">
        <f t="shared" si="212"/>
        <v>-45</v>
      </c>
      <c r="BA69" s="488"/>
      <c r="CB69" s="243" t="s">
        <v>201</v>
      </c>
      <c r="CC69" s="224" t="s">
        <v>199</v>
      </c>
      <c r="CD69" s="92">
        <v>-1</v>
      </c>
      <c r="CE69" s="92">
        <v>45</v>
      </c>
      <c r="CF69" s="92">
        <v>40</v>
      </c>
      <c r="CG69" s="18">
        <f t="shared" si="213"/>
        <v>45</v>
      </c>
      <c r="CH69" s="488"/>
      <c r="CX69" s="243"/>
      <c r="CY69" s="224"/>
      <c r="CZ69" s="92"/>
      <c r="DA69" s="92"/>
      <c r="DB69" s="92"/>
      <c r="DC69" s="18">
        <f t="shared" si="214"/>
        <v>0</v>
      </c>
      <c r="DD69" s="488"/>
      <c r="DT69" s="243"/>
      <c r="DU69" s="224"/>
      <c r="DV69" s="92"/>
      <c r="DW69" s="92"/>
      <c r="DX69" s="92"/>
      <c r="DY69" s="18">
        <f t="shared" si="215"/>
        <v>0</v>
      </c>
      <c r="DZ69" s="488"/>
      <c r="EP69" s="243"/>
      <c r="EQ69" s="224"/>
      <c r="ER69" s="92"/>
      <c r="ES69" s="92"/>
      <c r="ET69" s="92"/>
      <c r="EU69" s="18">
        <f t="shared" si="216"/>
        <v>0</v>
      </c>
      <c r="EV69" s="488"/>
      <c r="FL69" s="248"/>
      <c r="FM69" s="238"/>
      <c r="FN69" s="95"/>
      <c r="FO69" s="95"/>
      <c r="FP69" s="95"/>
      <c r="FQ69" s="16">
        <f t="shared" si="219"/>
        <v>0</v>
      </c>
      <c r="FR69" s="263"/>
    </row>
    <row r="70" spans="3:174" ht="13.5">
      <c r="C70" s="243"/>
      <c r="D70" s="224"/>
      <c r="E70" s="92"/>
      <c r="F70" s="92"/>
      <c r="G70" s="92"/>
      <c r="H70" s="18">
        <f t="shared" si="211"/>
        <v>0</v>
      </c>
      <c r="I70" s="488"/>
      <c r="N70" s="1" t="s">
        <v>213</v>
      </c>
      <c r="Y70" s="1" t="s">
        <v>213</v>
      </c>
      <c r="AJ70" s="1" t="s">
        <v>102</v>
      </c>
      <c r="AU70" s="243" t="s">
        <v>195</v>
      </c>
      <c r="AV70" s="224" t="s">
        <v>196</v>
      </c>
      <c r="AW70" s="92">
        <v>-2</v>
      </c>
      <c r="AX70" s="92">
        <v>45</v>
      </c>
      <c r="AY70" s="92">
        <v>40</v>
      </c>
      <c r="AZ70" s="18">
        <f t="shared" si="212"/>
        <v>90</v>
      </c>
      <c r="BA70" s="488"/>
      <c r="BF70" s="1" t="s">
        <v>102</v>
      </c>
      <c r="BQ70" s="1" t="s">
        <v>102</v>
      </c>
      <c r="CB70" s="243"/>
      <c r="CC70" s="224"/>
      <c r="CD70" s="92"/>
      <c r="CE70" s="92"/>
      <c r="CF70" s="92"/>
      <c r="CG70" s="18">
        <f t="shared" si="213"/>
        <v>0</v>
      </c>
      <c r="CH70" s="488"/>
      <c r="CM70" s="1" t="s">
        <v>102</v>
      </c>
      <c r="CX70" s="243"/>
      <c r="CY70" s="224"/>
      <c r="CZ70" s="92"/>
      <c r="DA70" s="92"/>
      <c r="DB70" s="92"/>
      <c r="DC70" s="18">
        <f t="shared" si="214"/>
        <v>0</v>
      </c>
      <c r="DD70" s="488"/>
      <c r="DT70" s="243"/>
      <c r="DU70" s="224"/>
      <c r="DV70" s="92"/>
      <c r="DW70" s="92"/>
      <c r="DX70" s="92"/>
      <c r="DY70" s="18">
        <f t="shared" si="215"/>
        <v>0</v>
      </c>
      <c r="DZ70" s="488"/>
      <c r="EP70" s="243"/>
      <c r="EQ70" s="224"/>
      <c r="ER70" s="92"/>
      <c r="ES70" s="92"/>
      <c r="ET70" s="92"/>
      <c r="EU70" s="18">
        <f t="shared" si="216"/>
        <v>0</v>
      </c>
      <c r="EV70" s="488"/>
      <c r="FL70" s="242"/>
      <c r="FM70" s="235"/>
      <c r="FN70" s="89"/>
      <c r="FO70" s="89"/>
      <c r="FP70" s="89"/>
      <c r="FQ70" s="27">
        <f t="shared" si="219"/>
        <v>0</v>
      </c>
      <c r="FR70" s="488" t="s">
        <v>99</v>
      </c>
    </row>
    <row r="71" spans="3:174" ht="13.5">
      <c r="C71" s="243"/>
      <c r="D71" s="224"/>
      <c r="E71" s="92"/>
      <c r="F71" s="92"/>
      <c r="G71" s="92"/>
      <c r="H71" s="18">
        <f t="shared" si="211"/>
        <v>0</v>
      </c>
      <c r="I71" s="488"/>
      <c r="AJ71" s="1" t="s">
        <v>213</v>
      </c>
      <c r="AU71" s="243" t="s">
        <v>200</v>
      </c>
      <c r="AV71" s="224" t="s">
        <v>196</v>
      </c>
      <c r="AW71" s="92">
        <v>1</v>
      </c>
      <c r="AX71" s="92">
        <v>100</v>
      </c>
      <c r="AY71" s="92">
        <v>100</v>
      </c>
      <c r="AZ71" s="18">
        <f t="shared" si="212"/>
        <v>-100</v>
      </c>
      <c r="BA71" s="488"/>
      <c r="BF71" s="1" t="s">
        <v>212</v>
      </c>
      <c r="BQ71" s="1" t="s">
        <v>211</v>
      </c>
      <c r="CB71" s="243"/>
      <c r="CC71" s="224"/>
      <c r="CD71" s="92"/>
      <c r="CE71" s="92"/>
      <c r="CF71" s="92"/>
      <c r="CG71" s="18">
        <f t="shared" si="213"/>
        <v>0</v>
      </c>
      <c r="CH71" s="488"/>
      <c r="CM71" s="1" t="s">
        <v>203</v>
      </c>
      <c r="CX71" s="243"/>
      <c r="CY71" s="224"/>
      <c r="CZ71" s="92"/>
      <c r="DA71" s="92"/>
      <c r="DB71" s="92"/>
      <c r="DC71" s="18">
        <f t="shared" si="214"/>
        <v>0</v>
      </c>
      <c r="DD71" s="488"/>
      <c r="DT71" s="243"/>
      <c r="DU71" s="224"/>
      <c r="DV71" s="92"/>
      <c r="DW71" s="92"/>
      <c r="DX71" s="92"/>
      <c r="DY71" s="18">
        <f t="shared" si="215"/>
        <v>0</v>
      </c>
      <c r="DZ71" s="488"/>
      <c r="EP71" s="243"/>
      <c r="EQ71" s="224"/>
      <c r="ER71" s="92"/>
      <c r="ES71" s="92"/>
      <c r="ET71" s="92"/>
      <c r="EU71" s="18">
        <f t="shared" si="216"/>
        <v>0</v>
      </c>
      <c r="EV71" s="488"/>
      <c r="FL71" s="243"/>
      <c r="FM71" s="224"/>
      <c r="FN71" s="92"/>
      <c r="FO71" s="92"/>
      <c r="FP71" s="92"/>
      <c r="FQ71" s="18">
        <f t="shared" si="219"/>
        <v>0</v>
      </c>
      <c r="FR71" s="488"/>
    </row>
    <row r="72" spans="3:174" ht="13.5">
      <c r="C72" s="243"/>
      <c r="D72" s="224"/>
      <c r="E72" s="92"/>
      <c r="F72" s="92"/>
      <c r="G72" s="92"/>
      <c r="H72" s="18">
        <f t="shared" si="211"/>
        <v>0</v>
      </c>
      <c r="I72" s="488"/>
      <c r="AU72" s="243" t="s">
        <v>200</v>
      </c>
      <c r="AV72" s="224" t="s">
        <v>83</v>
      </c>
      <c r="AW72" s="92">
        <v>1</v>
      </c>
      <c r="AX72" s="92">
        <v>100</v>
      </c>
      <c r="AY72" s="92">
        <v>100</v>
      </c>
      <c r="AZ72" s="18">
        <f t="shared" si="212"/>
        <v>-100</v>
      </c>
      <c r="BA72" s="488"/>
      <c r="CB72" s="243"/>
      <c r="CC72" s="224"/>
      <c r="CD72" s="92"/>
      <c r="CE72" s="92"/>
      <c r="CF72" s="92"/>
      <c r="CG72" s="18">
        <f t="shared" si="213"/>
        <v>0</v>
      </c>
      <c r="CH72" s="488"/>
      <c r="CX72" s="243"/>
      <c r="CY72" s="224"/>
      <c r="CZ72" s="92"/>
      <c r="DA72" s="92"/>
      <c r="DB72" s="92"/>
      <c r="DC72" s="18">
        <f t="shared" si="214"/>
        <v>0</v>
      </c>
      <c r="DD72" s="488"/>
      <c r="DT72" s="243"/>
      <c r="DU72" s="224"/>
      <c r="DV72" s="92"/>
      <c r="DW72" s="92"/>
      <c r="DX72" s="92"/>
      <c r="DY72" s="18">
        <f t="shared" si="215"/>
        <v>0</v>
      </c>
      <c r="DZ72" s="488"/>
      <c r="EP72" s="243"/>
      <c r="EQ72" s="224"/>
      <c r="ER72" s="92"/>
      <c r="ES72" s="92"/>
      <c r="ET72" s="92"/>
      <c r="EU72" s="18">
        <f t="shared" si="216"/>
        <v>0</v>
      </c>
      <c r="EV72" s="488"/>
      <c r="FL72" s="243"/>
      <c r="FM72" s="224"/>
      <c r="FN72" s="92"/>
      <c r="FO72" s="92"/>
      <c r="FP72" s="92"/>
      <c r="FQ72" s="18">
        <f t="shared" si="219"/>
        <v>0</v>
      </c>
      <c r="FR72" s="488"/>
    </row>
    <row r="73" spans="3:174" ht="13.5">
      <c r="C73" s="243"/>
      <c r="D73" s="224"/>
      <c r="E73" s="92"/>
      <c r="F73" s="92"/>
      <c r="G73" s="92"/>
      <c r="H73" s="18">
        <f t="shared" si="211"/>
        <v>0</v>
      </c>
      <c r="I73" s="488"/>
      <c r="AU73" s="243" t="s">
        <v>195</v>
      </c>
      <c r="AV73" s="224" t="s">
        <v>83</v>
      </c>
      <c r="AW73" s="92">
        <v>1</v>
      </c>
      <c r="AX73" s="92">
        <v>40</v>
      </c>
      <c r="AY73" s="92">
        <v>40</v>
      </c>
      <c r="AZ73" s="18">
        <f t="shared" si="212"/>
        <v>-40</v>
      </c>
      <c r="BA73" s="488"/>
      <c r="CB73" s="243"/>
      <c r="CC73" s="224"/>
      <c r="CD73" s="92"/>
      <c r="CE73" s="92"/>
      <c r="CF73" s="92"/>
      <c r="CG73" s="18">
        <f t="shared" si="213"/>
        <v>0</v>
      </c>
      <c r="CH73" s="488"/>
      <c r="CX73" s="243"/>
      <c r="CY73" s="224"/>
      <c r="CZ73" s="92"/>
      <c r="DA73" s="92"/>
      <c r="DB73" s="92"/>
      <c r="DC73" s="18">
        <f t="shared" si="214"/>
        <v>0</v>
      </c>
      <c r="DD73" s="488"/>
      <c r="DT73" s="243"/>
      <c r="DU73" s="224"/>
      <c r="DV73" s="92"/>
      <c r="DW73" s="92"/>
      <c r="DX73" s="92"/>
      <c r="DY73" s="18">
        <f t="shared" si="215"/>
        <v>0</v>
      </c>
      <c r="DZ73" s="488"/>
      <c r="EP73" s="243"/>
      <c r="EQ73" s="224"/>
      <c r="ER73" s="92"/>
      <c r="ES73" s="92"/>
      <c r="ET73" s="92"/>
      <c r="EU73" s="18">
        <f t="shared" si="216"/>
        <v>0</v>
      </c>
      <c r="EV73" s="488"/>
      <c r="FL73" s="243"/>
      <c r="FM73" s="224"/>
      <c r="FN73" s="92"/>
      <c r="FO73" s="92"/>
      <c r="FP73" s="92"/>
      <c r="FQ73" s="18">
        <f t="shared" si="219"/>
        <v>0</v>
      </c>
      <c r="FR73" s="488"/>
    </row>
    <row r="74" spans="3:174" ht="13.5">
      <c r="C74" s="243"/>
      <c r="D74" s="224"/>
      <c r="E74" s="92"/>
      <c r="F74" s="92"/>
      <c r="G74" s="92"/>
      <c r="H74" s="18">
        <f t="shared" si="211"/>
        <v>0</v>
      </c>
      <c r="I74" s="488"/>
      <c r="AU74" s="243"/>
      <c r="AV74" s="224"/>
      <c r="AW74" s="92"/>
      <c r="AX74" s="92"/>
      <c r="AY74" s="92"/>
      <c r="AZ74" s="18">
        <f t="shared" si="212"/>
        <v>0</v>
      </c>
      <c r="BA74" s="488"/>
      <c r="CB74" s="243"/>
      <c r="CC74" s="224"/>
      <c r="CD74" s="92"/>
      <c r="CE74" s="92"/>
      <c r="CF74" s="92"/>
      <c r="CG74" s="18">
        <f t="shared" si="213"/>
        <v>0</v>
      </c>
      <c r="CH74" s="488"/>
      <c r="CX74" s="243"/>
      <c r="CY74" s="224"/>
      <c r="CZ74" s="92"/>
      <c r="DA74" s="92"/>
      <c r="DB74" s="92"/>
      <c r="DC74" s="18">
        <f t="shared" si="214"/>
        <v>0</v>
      </c>
      <c r="DD74" s="488"/>
      <c r="DT74" s="243"/>
      <c r="DU74" s="224"/>
      <c r="DV74" s="92"/>
      <c r="DW74" s="92"/>
      <c r="DX74" s="92"/>
      <c r="DY74" s="18">
        <f t="shared" si="215"/>
        <v>0</v>
      </c>
      <c r="DZ74" s="488"/>
      <c r="EP74" s="243"/>
      <c r="EQ74" s="224"/>
      <c r="ER74" s="92"/>
      <c r="ES74" s="92"/>
      <c r="ET74" s="92"/>
      <c r="EU74" s="18">
        <f t="shared" si="216"/>
        <v>0</v>
      </c>
      <c r="EV74" s="488"/>
      <c r="FL74" s="243"/>
      <c r="FM74" s="224"/>
      <c r="FN74" s="92"/>
      <c r="FO74" s="92"/>
      <c r="FP74" s="92"/>
      <c r="FQ74" s="18">
        <f aca="true" t="shared" si="220" ref="FQ74:FQ80">-FN74*FO74</f>
        <v>0</v>
      </c>
      <c r="FR74" s="488"/>
    </row>
    <row r="75" spans="3:174" ht="14.25" thickBot="1">
      <c r="C75" s="248"/>
      <c r="D75" s="238"/>
      <c r="E75" s="95"/>
      <c r="F75" s="95"/>
      <c r="G75" s="95"/>
      <c r="H75" s="16">
        <f t="shared" si="211"/>
        <v>0</v>
      </c>
      <c r="I75" s="488"/>
      <c r="AU75" s="248"/>
      <c r="AV75" s="238"/>
      <c r="AW75" s="95"/>
      <c r="AX75" s="95"/>
      <c r="AY75" s="95"/>
      <c r="AZ75" s="16">
        <f t="shared" si="212"/>
        <v>0</v>
      </c>
      <c r="BA75" s="488"/>
      <c r="CB75" s="248"/>
      <c r="CC75" s="238"/>
      <c r="CD75" s="95"/>
      <c r="CE75" s="95"/>
      <c r="CF75" s="95"/>
      <c r="CG75" s="16">
        <f t="shared" si="213"/>
        <v>0</v>
      </c>
      <c r="CH75" s="488"/>
      <c r="CX75" s="248"/>
      <c r="CY75" s="238"/>
      <c r="CZ75" s="95"/>
      <c r="DA75" s="95"/>
      <c r="DB75" s="95"/>
      <c r="DC75" s="16">
        <f t="shared" si="214"/>
        <v>0</v>
      </c>
      <c r="DD75" s="488"/>
      <c r="DT75" s="248"/>
      <c r="DU75" s="238"/>
      <c r="DV75" s="95"/>
      <c r="DW75" s="95"/>
      <c r="DX75" s="95"/>
      <c r="DY75" s="16">
        <f t="shared" si="215"/>
        <v>0</v>
      </c>
      <c r="DZ75" s="488"/>
      <c r="EP75" s="248"/>
      <c r="EQ75" s="238"/>
      <c r="ER75" s="95"/>
      <c r="ES75" s="95"/>
      <c r="ET75" s="95"/>
      <c r="EU75" s="16">
        <f t="shared" si="216"/>
        <v>0</v>
      </c>
      <c r="EV75" s="488"/>
      <c r="FL75" s="243"/>
      <c r="FM75" s="224"/>
      <c r="FN75" s="92"/>
      <c r="FO75" s="92"/>
      <c r="FP75" s="92"/>
      <c r="FQ75" s="18">
        <f t="shared" si="220"/>
        <v>0</v>
      </c>
      <c r="FR75" s="488"/>
    </row>
    <row r="76" spans="3:174" ht="13.5">
      <c r="C76" s="242"/>
      <c r="D76" s="235"/>
      <c r="E76" s="89"/>
      <c r="F76" s="89"/>
      <c r="G76" s="89"/>
      <c r="H76" s="27">
        <f t="shared" si="211"/>
        <v>0</v>
      </c>
      <c r="I76" s="488"/>
      <c r="AU76" s="242"/>
      <c r="AV76" s="235"/>
      <c r="AW76" s="89"/>
      <c r="AX76" s="89"/>
      <c r="AY76" s="89"/>
      <c r="AZ76" s="27">
        <f t="shared" si="212"/>
        <v>0</v>
      </c>
      <c r="BA76" s="488"/>
      <c r="CB76" s="242"/>
      <c r="CC76" s="235"/>
      <c r="CD76" s="89"/>
      <c r="CE76" s="89"/>
      <c r="CF76" s="89"/>
      <c r="CG76" s="27">
        <f t="shared" si="213"/>
        <v>0</v>
      </c>
      <c r="CH76" s="488"/>
      <c r="CX76" s="242"/>
      <c r="CY76" s="235"/>
      <c r="CZ76" s="89"/>
      <c r="DA76" s="89"/>
      <c r="DB76" s="89"/>
      <c r="DC76" s="27">
        <f t="shared" si="214"/>
        <v>0</v>
      </c>
      <c r="DD76" s="488"/>
      <c r="DT76" s="242"/>
      <c r="DU76" s="235"/>
      <c r="DV76" s="89"/>
      <c r="DW76" s="89"/>
      <c r="DX76" s="89"/>
      <c r="DY76" s="27">
        <f t="shared" si="215"/>
        <v>0</v>
      </c>
      <c r="DZ76" s="488"/>
      <c r="EP76" s="242"/>
      <c r="EQ76" s="235"/>
      <c r="ER76" s="89"/>
      <c r="ES76" s="89"/>
      <c r="ET76" s="89"/>
      <c r="EU76" s="27">
        <f t="shared" si="216"/>
        <v>0</v>
      </c>
      <c r="EV76" s="488"/>
      <c r="FL76" s="243"/>
      <c r="FM76" s="224"/>
      <c r="FN76" s="92"/>
      <c r="FO76" s="92"/>
      <c r="FP76" s="92"/>
      <c r="FQ76" s="18">
        <f t="shared" si="220"/>
        <v>0</v>
      </c>
      <c r="FR76" s="488"/>
    </row>
    <row r="77" spans="3:174" ht="13.5" customHeight="1">
      <c r="C77" s="243"/>
      <c r="D77" s="224"/>
      <c r="E77" s="92"/>
      <c r="F77" s="92"/>
      <c r="G77" s="92"/>
      <c r="H77" s="18">
        <f t="shared" si="211"/>
        <v>0</v>
      </c>
      <c r="I77" s="488"/>
      <c r="AU77" s="243"/>
      <c r="AV77" s="224"/>
      <c r="AW77" s="92"/>
      <c r="AX77" s="92"/>
      <c r="AY77" s="92"/>
      <c r="AZ77" s="18">
        <f t="shared" si="212"/>
        <v>0</v>
      </c>
      <c r="BA77" s="488"/>
      <c r="CB77" s="243"/>
      <c r="CC77" s="224"/>
      <c r="CD77" s="92"/>
      <c r="CE77" s="92"/>
      <c r="CF77" s="92"/>
      <c r="CG77" s="18">
        <f t="shared" si="213"/>
        <v>0</v>
      </c>
      <c r="CH77" s="488"/>
      <c r="CX77" s="243"/>
      <c r="CY77" s="224"/>
      <c r="CZ77" s="92"/>
      <c r="DA77" s="92"/>
      <c r="DB77" s="92"/>
      <c r="DC77" s="18">
        <f t="shared" si="214"/>
        <v>0</v>
      </c>
      <c r="DD77" s="488"/>
      <c r="DT77" s="243"/>
      <c r="DU77" s="224"/>
      <c r="DV77" s="92"/>
      <c r="DW77" s="92"/>
      <c r="DX77" s="92"/>
      <c r="DY77" s="18">
        <f t="shared" si="215"/>
        <v>0</v>
      </c>
      <c r="DZ77" s="488"/>
      <c r="EP77" s="243"/>
      <c r="EQ77" s="224"/>
      <c r="ER77" s="92"/>
      <c r="ES77" s="92"/>
      <c r="ET77" s="92"/>
      <c r="EU77" s="18">
        <f t="shared" si="216"/>
        <v>0</v>
      </c>
      <c r="EV77" s="488"/>
      <c r="FL77" s="243"/>
      <c r="FM77" s="224"/>
      <c r="FN77" s="92"/>
      <c r="FO77" s="92"/>
      <c r="FP77" s="92"/>
      <c r="FQ77" s="18">
        <f t="shared" si="220"/>
        <v>0</v>
      </c>
      <c r="FR77" s="488"/>
    </row>
    <row r="78" spans="3:174" ht="13.5">
      <c r="C78" s="243"/>
      <c r="D78" s="224"/>
      <c r="E78" s="92"/>
      <c r="F78" s="92"/>
      <c r="G78" s="92"/>
      <c r="H78" s="18">
        <f t="shared" si="211"/>
        <v>0</v>
      </c>
      <c r="I78" s="488"/>
      <c r="AU78" s="243"/>
      <c r="AV78" s="224"/>
      <c r="AW78" s="92"/>
      <c r="AX78" s="92"/>
      <c r="AY78" s="92"/>
      <c r="AZ78" s="18">
        <f t="shared" si="212"/>
        <v>0</v>
      </c>
      <c r="BA78" s="488"/>
      <c r="CB78" s="243"/>
      <c r="CC78" s="224"/>
      <c r="CD78" s="92"/>
      <c r="CE78" s="92"/>
      <c r="CF78" s="92"/>
      <c r="CG78" s="18">
        <f t="shared" si="213"/>
        <v>0</v>
      </c>
      <c r="CH78" s="488"/>
      <c r="CX78" s="243"/>
      <c r="CY78" s="224"/>
      <c r="CZ78" s="92"/>
      <c r="DA78" s="92"/>
      <c r="DB78" s="92"/>
      <c r="DC78" s="18">
        <f t="shared" si="214"/>
        <v>0</v>
      </c>
      <c r="DD78" s="488"/>
      <c r="DT78" s="243"/>
      <c r="DU78" s="224"/>
      <c r="DV78" s="92"/>
      <c r="DW78" s="92"/>
      <c r="DX78" s="92"/>
      <c r="DY78" s="18">
        <f t="shared" si="215"/>
        <v>0</v>
      </c>
      <c r="DZ78" s="488"/>
      <c r="EP78" s="243"/>
      <c r="EQ78" s="224"/>
      <c r="ER78" s="92"/>
      <c r="ES78" s="92"/>
      <c r="ET78" s="92"/>
      <c r="EU78" s="18">
        <f t="shared" si="216"/>
        <v>0</v>
      </c>
      <c r="EV78" s="488"/>
      <c r="FL78" s="243"/>
      <c r="FM78" s="224"/>
      <c r="FN78" s="92"/>
      <c r="FO78" s="92"/>
      <c r="FP78" s="92"/>
      <c r="FQ78" s="18">
        <f t="shared" si="220"/>
        <v>0</v>
      </c>
      <c r="FR78" s="488"/>
    </row>
    <row r="79" spans="3:174" ht="13.5" customHeight="1" thickBot="1">
      <c r="C79" s="243"/>
      <c r="D79" s="224"/>
      <c r="E79" s="92"/>
      <c r="F79" s="92"/>
      <c r="G79" s="92"/>
      <c r="H79" s="18">
        <f t="shared" si="211"/>
        <v>0</v>
      </c>
      <c r="I79" s="488"/>
      <c r="AU79" s="243"/>
      <c r="AV79" s="224"/>
      <c r="AW79" s="92"/>
      <c r="AX79" s="92"/>
      <c r="AY79" s="92"/>
      <c r="AZ79" s="18">
        <f t="shared" si="212"/>
        <v>0</v>
      </c>
      <c r="BA79" s="488"/>
      <c r="CB79" s="243"/>
      <c r="CC79" s="224"/>
      <c r="CD79" s="92"/>
      <c r="CE79" s="92"/>
      <c r="CF79" s="92"/>
      <c r="CG79" s="18">
        <f t="shared" si="213"/>
        <v>0</v>
      </c>
      <c r="CH79" s="488"/>
      <c r="CX79" s="243"/>
      <c r="CY79" s="224"/>
      <c r="CZ79" s="92"/>
      <c r="DA79" s="92"/>
      <c r="DB79" s="92"/>
      <c r="DC79" s="18">
        <f t="shared" si="214"/>
        <v>0</v>
      </c>
      <c r="DD79" s="488"/>
      <c r="DT79" s="243"/>
      <c r="DU79" s="224"/>
      <c r="DV79" s="92"/>
      <c r="DW79" s="92"/>
      <c r="DX79" s="92"/>
      <c r="DY79" s="18">
        <f t="shared" si="215"/>
        <v>0</v>
      </c>
      <c r="DZ79" s="488"/>
      <c r="EP79" s="243"/>
      <c r="EQ79" s="224"/>
      <c r="ER79" s="92"/>
      <c r="ES79" s="92"/>
      <c r="ET79" s="92"/>
      <c r="EU79" s="18">
        <f t="shared" si="216"/>
        <v>0</v>
      </c>
      <c r="EV79" s="488"/>
      <c r="FL79" s="248"/>
      <c r="FM79" s="238"/>
      <c r="FN79" s="95"/>
      <c r="FO79" s="95"/>
      <c r="FP79" s="95"/>
      <c r="FQ79" s="16">
        <f t="shared" si="220"/>
        <v>0</v>
      </c>
      <c r="FR79" s="488"/>
    </row>
    <row r="80" spans="3:174" ht="13.5">
      <c r="C80" s="243"/>
      <c r="D80" s="224"/>
      <c r="E80" s="92"/>
      <c r="F80" s="92"/>
      <c r="G80" s="92"/>
      <c r="H80" s="18">
        <f t="shared" si="211"/>
        <v>0</v>
      </c>
      <c r="I80" s="488"/>
      <c r="AU80" s="243"/>
      <c r="AV80" s="224"/>
      <c r="AW80" s="92"/>
      <c r="AX80" s="92"/>
      <c r="AY80" s="92"/>
      <c r="AZ80" s="18">
        <f t="shared" si="212"/>
        <v>0</v>
      </c>
      <c r="BA80" s="488"/>
      <c r="CB80" s="243"/>
      <c r="CC80" s="224"/>
      <c r="CD80" s="92"/>
      <c r="CE80" s="92"/>
      <c r="CF80" s="92"/>
      <c r="CG80" s="18">
        <f t="shared" si="213"/>
        <v>0</v>
      </c>
      <c r="CH80" s="488"/>
      <c r="CX80" s="243"/>
      <c r="CY80" s="224"/>
      <c r="CZ80" s="92"/>
      <c r="DA80" s="92"/>
      <c r="DB80" s="92"/>
      <c r="DC80" s="18">
        <f t="shared" si="214"/>
        <v>0</v>
      </c>
      <c r="DD80" s="488"/>
      <c r="DT80" s="243"/>
      <c r="DU80" s="224"/>
      <c r="DV80" s="92"/>
      <c r="DW80" s="92"/>
      <c r="DX80" s="92"/>
      <c r="DY80" s="18">
        <f t="shared" si="215"/>
        <v>0</v>
      </c>
      <c r="DZ80" s="488"/>
      <c r="EP80" s="243"/>
      <c r="EQ80" s="224"/>
      <c r="ER80" s="92"/>
      <c r="ES80" s="92"/>
      <c r="ET80" s="92"/>
      <c r="EU80" s="18">
        <f t="shared" si="216"/>
        <v>0</v>
      </c>
      <c r="EV80" s="488"/>
      <c r="FL80" s="242"/>
      <c r="FM80" s="235"/>
      <c r="FN80" s="89"/>
      <c r="FO80" s="89"/>
      <c r="FP80" s="89"/>
      <c r="FQ80" s="27">
        <f t="shared" si="220"/>
        <v>0</v>
      </c>
      <c r="FR80" s="488"/>
    </row>
    <row r="81" spans="3:174" ht="13.5">
      <c r="C81" s="243"/>
      <c r="D81" s="224"/>
      <c r="E81" s="92"/>
      <c r="F81" s="92"/>
      <c r="G81" s="92"/>
      <c r="H81" s="18">
        <f t="shared" si="211"/>
        <v>0</v>
      </c>
      <c r="I81" s="488"/>
      <c r="AU81" s="243"/>
      <c r="AV81" s="224"/>
      <c r="AW81" s="92"/>
      <c r="AX81" s="92"/>
      <c r="AY81" s="92"/>
      <c r="AZ81" s="18">
        <f t="shared" si="212"/>
        <v>0</v>
      </c>
      <c r="BA81" s="488"/>
      <c r="CB81" s="243"/>
      <c r="CC81" s="224"/>
      <c r="CD81" s="92"/>
      <c r="CE81" s="92"/>
      <c r="CF81" s="92"/>
      <c r="CG81" s="18">
        <f t="shared" si="213"/>
        <v>0</v>
      </c>
      <c r="CH81" s="488"/>
      <c r="CX81" s="243"/>
      <c r="CY81" s="224"/>
      <c r="CZ81" s="92"/>
      <c r="DA81" s="92"/>
      <c r="DB81" s="92"/>
      <c r="DC81" s="18">
        <f t="shared" si="214"/>
        <v>0</v>
      </c>
      <c r="DD81" s="488"/>
      <c r="DT81" s="243"/>
      <c r="DU81" s="224"/>
      <c r="DV81" s="92"/>
      <c r="DW81" s="92"/>
      <c r="DX81" s="92"/>
      <c r="DY81" s="18">
        <f t="shared" si="215"/>
        <v>0</v>
      </c>
      <c r="DZ81" s="488"/>
      <c r="EP81" s="243"/>
      <c r="EQ81" s="224"/>
      <c r="ER81" s="92"/>
      <c r="ES81" s="92"/>
      <c r="ET81" s="92"/>
      <c r="EU81" s="18">
        <f t="shared" si="216"/>
        <v>0</v>
      </c>
      <c r="EV81" s="488"/>
      <c r="FL81" s="243"/>
      <c r="FM81" s="224"/>
      <c r="FN81" s="92"/>
      <c r="FO81" s="92"/>
      <c r="FP81" s="92"/>
      <c r="FQ81" s="18">
        <f t="shared" si="218"/>
        <v>0</v>
      </c>
      <c r="FR81" s="488"/>
    </row>
    <row r="82" spans="3:174" ht="13.5">
      <c r="C82" s="243"/>
      <c r="D82" s="224"/>
      <c r="E82" s="92"/>
      <c r="F82" s="92"/>
      <c r="G82" s="92"/>
      <c r="H82" s="18">
        <f t="shared" si="211"/>
        <v>0</v>
      </c>
      <c r="I82" s="488"/>
      <c r="AU82" s="243"/>
      <c r="AV82" s="224"/>
      <c r="AW82" s="92"/>
      <c r="AX82" s="92"/>
      <c r="AY82" s="92"/>
      <c r="AZ82" s="18">
        <f t="shared" si="212"/>
        <v>0</v>
      </c>
      <c r="BA82" s="488"/>
      <c r="CB82" s="243"/>
      <c r="CC82" s="224"/>
      <c r="CD82" s="92"/>
      <c r="CE82" s="92"/>
      <c r="CF82" s="92"/>
      <c r="CG82" s="18">
        <f t="shared" si="213"/>
        <v>0</v>
      </c>
      <c r="CH82" s="488"/>
      <c r="CX82" s="243"/>
      <c r="CY82" s="224"/>
      <c r="CZ82" s="92"/>
      <c r="DA82" s="92"/>
      <c r="DB82" s="92"/>
      <c r="DC82" s="18">
        <f t="shared" si="214"/>
        <v>0</v>
      </c>
      <c r="DD82" s="488"/>
      <c r="DT82" s="243"/>
      <c r="DU82" s="224"/>
      <c r="DV82" s="92"/>
      <c r="DW82" s="92"/>
      <c r="DX82" s="92"/>
      <c r="DY82" s="18">
        <f t="shared" si="215"/>
        <v>0</v>
      </c>
      <c r="DZ82" s="488"/>
      <c r="EP82" s="243"/>
      <c r="EQ82" s="224"/>
      <c r="ER82" s="92"/>
      <c r="ES82" s="92"/>
      <c r="ET82" s="92"/>
      <c r="EU82" s="18">
        <f t="shared" si="216"/>
        <v>0</v>
      </c>
      <c r="EV82" s="488"/>
      <c r="FL82" s="243"/>
      <c r="FM82" s="224"/>
      <c r="FN82" s="92"/>
      <c r="FO82" s="92"/>
      <c r="FP82" s="92"/>
      <c r="FQ82" s="18">
        <f t="shared" si="218"/>
        <v>0</v>
      </c>
      <c r="FR82" s="488"/>
    </row>
    <row r="83" spans="3:174" ht="13.5">
      <c r="C83" s="243"/>
      <c r="D83" s="224"/>
      <c r="E83" s="92"/>
      <c r="F83" s="92"/>
      <c r="G83" s="92"/>
      <c r="H83" s="18">
        <f t="shared" si="211"/>
        <v>0</v>
      </c>
      <c r="I83" s="488"/>
      <c r="AU83" s="243"/>
      <c r="AV83" s="224"/>
      <c r="AW83" s="92"/>
      <c r="AX83" s="92"/>
      <c r="AY83" s="92"/>
      <c r="AZ83" s="18">
        <f t="shared" si="212"/>
        <v>0</v>
      </c>
      <c r="BA83" s="488"/>
      <c r="CB83" s="243"/>
      <c r="CC83" s="224"/>
      <c r="CD83" s="92"/>
      <c r="CE83" s="92"/>
      <c r="CF83" s="92"/>
      <c r="CG83" s="18">
        <f t="shared" si="213"/>
        <v>0</v>
      </c>
      <c r="CH83" s="488"/>
      <c r="CX83" s="243"/>
      <c r="CY83" s="224"/>
      <c r="CZ83" s="92"/>
      <c r="DA83" s="92"/>
      <c r="DB83" s="92"/>
      <c r="DC83" s="18">
        <f t="shared" si="214"/>
        <v>0</v>
      </c>
      <c r="DD83" s="488"/>
      <c r="DT83" s="243"/>
      <c r="DU83" s="224"/>
      <c r="DV83" s="92"/>
      <c r="DW83" s="92"/>
      <c r="DX83" s="92"/>
      <c r="DY83" s="18">
        <f t="shared" si="215"/>
        <v>0</v>
      </c>
      <c r="DZ83" s="488"/>
      <c r="EP83" s="243"/>
      <c r="EQ83" s="224"/>
      <c r="ER83" s="92"/>
      <c r="ES83" s="92"/>
      <c r="ET83" s="92"/>
      <c r="EU83" s="18">
        <f t="shared" si="216"/>
        <v>0</v>
      </c>
      <c r="EV83" s="488"/>
      <c r="FL83" s="243"/>
      <c r="FM83" s="224"/>
      <c r="FN83" s="92"/>
      <c r="FO83" s="92"/>
      <c r="FP83" s="92"/>
      <c r="FQ83" s="18">
        <f aca="true" t="shared" si="221" ref="FQ83:FQ89">-FN83*FO83</f>
        <v>0</v>
      </c>
      <c r="FR83" s="488"/>
    </row>
    <row r="84" spans="3:174" ht="13.5">
      <c r="C84" s="243"/>
      <c r="D84" s="224"/>
      <c r="E84" s="92"/>
      <c r="F84" s="92"/>
      <c r="G84" s="92"/>
      <c r="H84" s="18">
        <f t="shared" si="211"/>
        <v>0</v>
      </c>
      <c r="I84" s="488"/>
      <c r="AU84" s="243"/>
      <c r="AV84" s="224"/>
      <c r="AW84" s="92"/>
      <c r="AX84" s="92"/>
      <c r="AY84" s="92"/>
      <c r="AZ84" s="18">
        <f t="shared" si="212"/>
        <v>0</v>
      </c>
      <c r="BA84" s="488"/>
      <c r="CB84" s="243"/>
      <c r="CC84" s="224"/>
      <c r="CD84" s="92"/>
      <c r="CE84" s="92"/>
      <c r="CF84" s="92"/>
      <c r="CG84" s="18">
        <f t="shared" si="213"/>
        <v>0</v>
      </c>
      <c r="CH84" s="488"/>
      <c r="CX84" s="243"/>
      <c r="CY84" s="224"/>
      <c r="CZ84" s="92"/>
      <c r="DA84" s="92"/>
      <c r="DB84" s="92"/>
      <c r="DC84" s="18">
        <f t="shared" si="214"/>
        <v>0</v>
      </c>
      <c r="DD84" s="488"/>
      <c r="DT84" s="243"/>
      <c r="DU84" s="224"/>
      <c r="DV84" s="92"/>
      <c r="DW84" s="92"/>
      <c r="DX84" s="92"/>
      <c r="DY84" s="18">
        <f t="shared" si="215"/>
        <v>0</v>
      </c>
      <c r="DZ84" s="488"/>
      <c r="EP84" s="243"/>
      <c r="EQ84" s="224"/>
      <c r="ER84" s="92"/>
      <c r="ES84" s="92"/>
      <c r="ET84" s="92"/>
      <c r="EU84" s="18">
        <f t="shared" si="216"/>
        <v>0</v>
      </c>
      <c r="EV84" s="488"/>
      <c r="FL84" s="243"/>
      <c r="FM84" s="224"/>
      <c r="FN84" s="92"/>
      <c r="FO84" s="92"/>
      <c r="FP84" s="92"/>
      <c r="FQ84" s="18">
        <f t="shared" si="221"/>
        <v>0</v>
      </c>
      <c r="FR84" s="488"/>
    </row>
    <row r="85" spans="3:174" ht="14.25" thickBot="1">
      <c r="C85" s="248"/>
      <c r="D85" s="238"/>
      <c r="E85" s="95"/>
      <c r="F85" s="95"/>
      <c r="G85" s="95"/>
      <c r="H85" s="16">
        <f t="shared" si="211"/>
        <v>0</v>
      </c>
      <c r="I85" s="264" t="s">
        <v>96</v>
      </c>
      <c r="AU85" s="248"/>
      <c r="AV85" s="238"/>
      <c r="AW85" s="95"/>
      <c r="AX85" s="95"/>
      <c r="AY85" s="95"/>
      <c r="AZ85" s="16">
        <f t="shared" si="212"/>
        <v>0</v>
      </c>
      <c r="BA85" s="264" t="s">
        <v>96</v>
      </c>
      <c r="CB85" s="248"/>
      <c r="CC85" s="238"/>
      <c r="CD85" s="95"/>
      <c r="CE85" s="95"/>
      <c r="CF85" s="95"/>
      <c r="CG85" s="16">
        <f t="shared" si="213"/>
        <v>0</v>
      </c>
      <c r="CH85" s="264" t="s">
        <v>96</v>
      </c>
      <c r="CX85" s="248"/>
      <c r="CY85" s="238"/>
      <c r="CZ85" s="95"/>
      <c r="DA85" s="95"/>
      <c r="DB85" s="95"/>
      <c r="DC85" s="16">
        <f t="shared" si="214"/>
        <v>0</v>
      </c>
      <c r="DD85" s="264" t="s">
        <v>96</v>
      </c>
      <c r="DT85" s="248"/>
      <c r="DU85" s="238"/>
      <c r="DV85" s="95"/>
      <c r="DW85" s="95"/>
      <c r="DX85" s="95"/>
      <c r="DY85" s="16">
        <f t="shared" si="215"/>
        <v>0</v>
      </c>
      <c r="DZ85" s="264" t="s">
        <v>96</v>
      </c>
      <c r="EP85" s="248"/>
      <c r="EQ85" s="238"/>
      <c r="ER85" s="95"/>
      <c r="ES85" s="95"/>
      <c r="ET85" s="95"/>
      <c r="EU85" s="16">
        <f t="shared" si="216"/>
        <v>0</v>
      </c>
      <c r="EV85" s="264" t="s">
        <v>96</v>
      </c>
      <c r="FL85" s="243"/>
      <c r="FM85" s="224"/>
      <c r="FN85" s="92"/>
      <c r="FO85" s="92"/>
      <c r="FP85" s="92"/>
      <c r="FQ85" s="18">
        <f t="shared" si="221"/>
        <v>0</v>
      </c>
      <c r="FR85" s="488"/>
    </row>
    <row r="86" spans="168:174" ht="13.5">
      <c r="FL86" s="243"/>
      <c r="FM86" s="224"/>
      <c r="FN86" s="92"/>
      <c r="FO86" s="92"/>
      <c r="FP86" s="92"/>
      <c r="FQ86" s="18">
        <f t="shared" si="221"/>
        <v>0</v>
      </c>
      <c r="FR86" s="488"/>
    </row>
    <row r="87" spans="168:174" ht="13.5">
      <c r="FL87" s="243"/>
      <c r="FM87" s="224"/>
      <c r="FN87" s="92"/>
      <c r="FO87" s="92"/>
      <c r="FP87" s="92"/>
      <c r="FQ87" s="18">
        <f t="shared" si="221"/>
        <v>0</v>
      </c>
      <c r="FR87" s="488"/>
    </row>
    <row r="88" spans="168:174" ht="13.5">
      <c r="FL88" s="243"/>
      <c r="FM88" s="224"/>
      <c r="FN88" s="92"/>
      <c r="FO88" s="92"/>
      <c r="FP88" s="92"/>
      <c r="FQ88" s="18">
        <f t="shared" si="221"/>
        <v>0</v>
      </c>
      <c r="FR88" s="488"/>
    </row>
    <row r="89" spans="168:174" ht="14.25" thickBot="1">
      <c r="FL89" s="248"/>
      <c r="FM89" s="238"/>
      <c r="FN89" s="95"/>
      <c r="FO89" s="95"/>
      <c r="FP89" s="95"/>
      <c r="FQ89" s="16">
        <f t="shared" si="221"/>
        <v>0</v>
      </c>
      <c r="FR89" s="264" t="s">
        <v>96</v>
      </c>
    </row>
  </sheetData>
  <mergeCells count="391">
    <mergeCell ref="H45:I45"/>
    <mergeCell ref="I66:I84"/>
    <mergeCell ref="K25:K26"/>
    <mergeCell ref="B37:B43"/>
    <mergeCell ref="J37:J38"/>
    <mergeCell ref="C44:D44"/>
    <mergeCell ref="B18:B24"/>
    <mergeCell ref="J18:J19"/>
    <mergeCell ref="B25:B36"/>
    <mergeCell ref="J25:J26"/>
    <mergeCell ref="B8:C8"/>
    <mergeCell ref="B9:C9"/>
    <mergeCell ref="B10:B17"/>
    <mergeCell ref="J10:J11"/>
    <mergeCell ref="B4:C4"/>
    <mergeCell ref="B5:C5"/>
    <mergeCell ref="B6:C6"/>
    <mergeCell ref="B7:C7"/>
    <mergeCell ref="A1:K1"/>
    <mergeCell ref="B2:C2"/>
    <mergeCell ref="D2:E2"/>
    <mergeCell ref="B3:C3"/>
    <mergeCell ref="AI37:AI43"/>
    <mergeCell ref="AQ37:AQ38"/>
    <mergeCell ref="AR37:AR38"/>
    <mergeCell ref="AI18:AI24"/>
    <mergeCell ref="AQ18:AQ19"/>
    <mergeCell ref="AR18:AR19"/>
    <mergeCell ref="AI25:AI36"/>
    <mergeCell ref="AQ25:AQ26"/>
    <mergeCell ref="AR25:AR26"/>
    <mergeCell ref="AI9:AJ9"/>
    <mergeCell ref="AI10:AI17"/>
    <mergeCell ref="AQ10:AQ11"/>
    <mergeCell ref="AR10:AR11"/>
    <mergeCell ref="AI6:AJ6"/>
    <mergeCell ref="AQ6:AR6"/>
    <mergeCell ref="AI7:AJ7"/>
    <mergeCell ref="AI8:AJ8"/>
    <mergeCell ref="AI4:AJ4"/>
    <mergeCell ref="AQ4:AR4"/>
    <mergeCell ref="AI5:AJ5"/>
    <mergeCell ref="AQ5:AR5"/>
    <mergeCell ref="AH1:AR1"/>
    <mergeCell ref="AI2:AJ2"/>
    <mergeCell ref="AK2:AL2"/>
    <mergeCell ref="AI3:AJ3"/>
    <mergeCell ref="AQ3:AR3"/>
    <mergeCell ref="BE37:BE43"/>
    <mergeCell ref="BM37:BM38"/>
    <mergeCell ref="BN37:BN38"/>
    <mergeCell ref="BE18:BE24"/>
    <mergeCell ref="BM18:BM19"/>
    <mergeCell ref="BN18:BN19"/>
    <mergeCell ref="BE25:BE36"/>
    <mergeCell ref="BM25:BM26"/>
    <mergeCell ref="BN25:BN26"/>
    <mergeCell ref="BE9:BF9"/>
    <mergeCell ref="BE10:BE17"/>
    <mergeCell ref="BM10:BM11"/>
    <mergeCell ref="BN10:BN11"/>
    <mergeCell ref="BE6:BF6"/>
    <mergeCell ref="BM6:BN6"/>
    <mergeCell ref="BE7:BF7"/>
    <mergeCell ref="BE8:BF8"/>
    <mergeCell ref="BE4:BF4"/>
    <mergeCell ref="BM4:BN4"/>
    <mergeCell ref="BE5:BF5"/>
    <mergeCell ref="BM5:BN5"/>
    <mergeCell ref="BD1:BN1"/>
    <mergeCell ref="BE2:BF2"/>
    <mergeCell ref="BG2:BH2"/>
    <mergeCell ref="BE3:BF3"/>
    <mergeCell ref="BM3:BN3"/>
    <mergeCell ref="DH37:DH43"/>
    <mergeCell ref="DP37:DP38"/>
    <mergeCell ref="DQ37:DQ38"/>
    <mergeCell ref="DH18:DH24"/>
    <mergeCell ref="DP18:DP19"/>
    <mergeCell ref="DQ18:DQ19"/>
    <mergeCell ref="DH25:DH36"/>
    <mergeCell ref="DP25:DP26"/>
    <mergeCell ref="DQ25:DQ26"/>
    <mergeCell ref="DH9:DI9"/>
    <mergeCell ref="DH10:DH17"/>
    <mergeCell ref="DP10:DP11"/>
    <mergeCell ref="DQ10:DQ11"/>
    <mergeCell ref="DH6:DI6"/>
    <mergeCell ref="DP6:DQ6"/>
    <mergeCell ref="DH7:DI7"/>
    <mergeCell ref="DH8:DI8"/>
    <mergeCell ref="DH4:DI4"/>
    <mergeCell ref="DP4:DQ4"/>
    <mergeCell ref="DH5:DI5"/>
    <mergeCell ref="DP5:DQ5"/>
    <mergeCell ref="DG1:DQ1"/>
    <mergeCell ref="DH2:DI2"/>
    <mergeCell ref="DJ2:DK2"/>
    <mergeCell ref="DH3:DI3"/>
    <mergeCell ref="DP3:DQ3"/>
    <mergeCell ref="ED37:ED43"/>
    <mergeCell ref="EL37:EL38"/>
    <mergeCell ref="EM37:EM38"/>
    <mergeCell ref="ED18:ED24"/>
    <mergeCell ref="EL18:EL19"/>
    <mergeCell ref="EM18:EM19"/>
    <mergeCell ref="ED25:ED36"/>
    <mergeCell ref="EL25:EL26"/>
    <mergeCell ref="EM25:EM26"/>
    <mergeCell ref="ED9:EE9"/>
    <mergeCell ref="ED10:ED17"/>
    <mergeCell ref="EL10:EL11"/>
    <mergeCell ref="EM10:EM11"/>
    <mergeCell ref="ED6:EE6"/>
    <mergeCell ref="EL6:EM6"/>
    <mergeCell ref="ED7:EE7"/>
    <mergeCell ref="ED8:EE8"/>
    <mergeCell ref="ED4:EE4"/>
    <mergeCell ref="EL4:EM4"/>
    <mergeCell ref="ED5:EE5"/>
    <mergeCell ref="EL5:EM5"/>
    <mergeCell ref="EC1:EM1"/>
    <mergeCell ref="ED2:EE2"/>
    <mergeCell ref="EF2:EG2"/>
    <mergeCell ref="ED3:EE3"/>
    <mergeCell ref="EL3:EM3"/>
    <mergeCell ref="FR70:FR88"/>
    <mergeCell ref="EZ25:EZ36"/>
    <mergeCell ref="EV66:EV84"/>
    <mergeCell ref="FK25:FK36"/>
    <mergeCell ref="EU45:EV45"/>
    <mergeCell ref="FQ45:FR45"/>
    <mergeCell ref="FL44:FM44"/>
    <mergeCell ref="FI37:FI38"/>
    <mergeCell ref="FK37:FK43"/>
    <mergeCell ref="FH37:FH38"/>
    <mergeCell ref="EO25:EO36"/>
    <mergeCell ref="EN1:EX1"/>
    <mergeCell ref="EY1:FI1"/>
    <mergeCell ref="EP44:EQ44"/>
    <mergeCell ref="EW25:EW26"/>
    <mergeCell ref="EX25:EX26"/>
    <mergeCell ref="EZ2:FA2"/>
    <mergeCell ref="FB2:FC2"/>
    <mergeCell ref="EO2:EP2"/>
    <mergeCell ref="EQ2:ER2"/>
    <mergeCell ref="FT18:FT19"/>
    <mergeCell ref="FI25:FI26"/>
    <mergeCell ref="FS25:FS26"/>
    <mergeCell ref="FS10:FS11"/>
    <mergeCell ref="FT25:FT26"/>
    <mergeCell ref="FK10:FK17"/>
    <mergeCell ref="FS18:FS19"/>
    <mergeCell ref="FT10:FT11"/>
    <mergeCell ref="FH3:FI3"/>
    <mergeCell ref="FH4:FI4"/>
    <mergeCell ref="FH5:FI5"/>
    <mergeCell ref="FH6:FI6"/>
    <mergeCell ref="FS4:FT4"/>
    <mergeCell ref="FS5:FT5"/>
    <mergeCell ref="FS3:FT3"/>
    <mergeCell ref="FK3:FL3"/>
    <mergeCell ref="FK4:FL4"/>
    <mergeCell ref="FK5:FL5"/>
    <mergeCell ref="FH25:FH26"/>
    <mergeCell ref="FK8:FL8"/>
    <mergeCell ref="EZ7:FA7"/>
    <mergeCell ref="FK7:FL7"/>
    <mergeCell ref="FS6:FT6"/>
    <mergeCell ref="FH10:FH11"/>
    <mergeCell ref="FI10:FI11"/>
    <mergeCell ref="EZ9:FA9"/>
    <mergeCell ref="FK9:FL9"/>
    <mergeCell ref="FK6:FL6"/>
    <mergeCell ref="EO3:EP3"/>
    <mergeCell ref="EO4:EP4"/>
    <mergeCell ref="EZ18:EZ24"/>
    <mergeCell ref="FI18:FI19"/>
    <mergeCell ref="EZ8:FA8"/>
    <mergeCell ref="EZ4:FA4"/>
    <mergeCell ref="EZ3:FA3"/>
    <mergeCell ref="EZ5:FA5"/>
    <mergeCell ref="EZ6:FA6"/>
    <mergeCell ref="EO7:EP7"/>
    <mergeCell ref="EO8:EP8"/>
    <mergeCell ref="EO10:EO17"/>
    <mergeCell ref="EO5:EP5"/>
    <mergeCell ref="EO6:EP6"/>
    <mergeCell ref="EO9:EP9"/>
    <mergeCell ref="EO18:EO24"/>
    <mergeCell ref="EW18:EW19"/>
    <mergeCell ref="FR46:FR49"/>
    <mergeCell ref="EW10:EW11"/>
    <mergeCell ref="FK18:FK24"/>
    <mergeCell ref="FH18:FH19"/>
    <mergeCell ref="EO37:EO43"/>
    <mergeCell ref="EW37:EW38"/>
    <mergeCell ref="EZ37:EZ43"/>
    <mergeCell ref="EZ10:EZ17"/>
    <mergeCell ref="DR1:EB1"/>
    <mergeCell ref="DS2:DT2"/>
    <mergeCell ref="DU2:DV2"/>
    <mergeCell ref="DS3:DT3"/>
    <mergeCell ref="DS4:DT4"/>
    <mergeCell ref="DS5:DT5"/>
    <mergeCell ref="DS6:DT6"/>
    <mergeCell ref="DS7:DT7"/>
    <mergeCell ref="DS8:DT8"/>
    <mergeCell ref="DS9:DT9"/>
    <mergeCell ref="DS10:DS17"/>
    <mergeCell ref="EA10:EA11"/>
    <mergeCell ref="DS18:DS24"/>
    <mergeCell ref="EA18:EA19"/>
    <mergeCell ref="DS25:DS36"/>
    <mergeCell ref="EA25:EA26"/>
    <mergeCell ref="DY45:DZ45"/>
    <mergeCell ref="DZ66:DZ84"/>
    <mergeCell ref="EB25:EB26"/>
    <mergeCell ref="DS37:DS43"/>
    <mergeCell ref="EA37:EA38"/>
    <mergeCell ref="DT44:DU44"/>
    <mergeCell ref="CK1:CU1"/>
    <mergeCell ref="CV1:DF1"/>
    <mergeCell ref="CL2:CM2"/>
    <mergeCell ref="CN2:CO2"/>
    <mergeCell ref="CW2:CX2"/>
    <mergeCell ref="CY2:CZ2"/>
    <mergeCell ref="CL3:CM3"/>
    <mergeCell ref="CT3:CU3"/>
    <mergeCell ref="CW3:CX3"/>
    <mergeCell ref="CL4:CM4"/>
    <mergeCell ref="CT4:CU4"/>
    <mergeCell ref="CW4:CX4"/>
    <mergeCell ref="CL5:CM5"/>
    <mergeCell ref="CT5:CU5"/>
    <mergeCell ref="CW5:CX5"/>
    <mergeCell ref="CL6:CM6"/>
    <mergeCell ref="CT6:CU6"/>
    <mergeCell ref="CW6:CX6"/>
    <mergeCell ref="CL7:CM7"/>
    <mergeCell ref="CW7:CX7"/>
    <mergeCell ref="CL8:CM8"/>
    <mergeCell ref="CW8:CX8"/>
    <mergeCell ref="CL9:CM9"/>
    <mergeCell ref="CW9:CX9"/>
    <mergeCell ref="CL10:CL17"/>
    <mergeCell ref="CT10:CT11"/>
    <mergeCell ref="CU10:CU11"/>
    <mergeCell ref="CW10:CW17"/>
    <mergeCell ref="DE10:DE11"/>
    <mergeCell ref="CL18:CL24"/>
    <mergeCell ref="CT18:CT19"/>
    <mergeCell ref="CU18:CU19"/>
    <mergeCell ref="CW18:CW24"/>
    <mergeCell ref="DE18:DE19"/>
    <mergeCell ref="DF25:DF26"/>
    <mergeCell ref="CL37:CL43"/>
    <mergeCell ref="CT37:CT38"/>
    <mergeCell ref="CU37:CU38"/>
    <mergeCell ref="CW37:CW43"/>
    <mergeCell ref="DE37:DE38"/>
    <mergeCell ref="CL25:CL36"/>
    <mergeCell ref="CT25:CT26"/>
    <mergeCell ref="CU25:CU26"/>
    <mergeCell ref="CW25:CW36"/>
    <mergeCell ref="CX44:CY44"/>
    <mergeCell ref="DC45:DD45"/>
    <mergeCell ref="DD66:DD84"/>
    <mergeCell ref="DE25:DE26"/>
    <mergeCell ref="BO1:BY1"/>
    <mergeCell ref="BZ1:CJ1"/>
    <mergeCell ref="BP2:BQ2"/>
    <mergeCell ref="BR2:BS2"/>
    <mergeCell ref="CA2:CB2"/>
    <mergeCell ref="CC2:CD2"/>
    <mergeCell ref="BP3:BQ3"/>
    <mergeCell ref="BX3:BY3"/>
    <mergeCell ref="CA3:CB3"/>
    <mergeCell ref="BP4:BQ4"/>
    <mergeCell ref="BX4:BY4"/>
    <mergeCell ref="CA4:CB4"/>
    <mergeCell ref="BP5:BQ5"/>
    <mergeCell ref="BX5:BY5"/>
    <mergeCell ref="CA5:CB5"/>
    <mergeCell ref="BP6:BQ6"/>
    <mergeCell ref="BX6:BY6"/>
    <mergeCell ref="CA6:CB6"/>
    <mergeCell ref="BP7:BQ7"/>
    <mergeCell ref="CA7:CB7"/>
    <mergeCell ref="BP8:BQ8"/>
    <mergeCell ref="CA8:CB8"/>
    <mergeCell ref="BP9:BQ9"/>
    <mergeCell ref="CA9:CB9"/>
    <mergeCell ref="BP10:BP17"/>
    <mergeCell ref="BX10:BX11"/>
    <mergeCell ref="BY10:BY11"/>
    <mergeCell ref="CA10:CA17"/>
    <mergeCell ref="CI10:CI11"/>
    <mergeCell ref="BP18:BP24"/>
    <mergeCell ref="BX18:BX19"/>
    <mergeCell ref="BY18:BY19"/>
    <mergeCell ref="CA18:CA24"/>
    <mergeCell ref="CI18:CI19"/>
    <mergeCell ref="CJ25:CJ26"/>
    <mergeCell ref="BP37:BP43"/>
    <mergeCell ref="BX37:BX38"/>
    <mergeCell ref="BY37:BY38"/>
    <mergeCell ref="CA37:CA43"/>
    <mergeCell ref="CI37:CI38"/>
    <mergeCell ref="BP25:BP36"/>
    <mergeCell ref="BX25:BX26"/>
    <mergeCell ref="BY25:BY26"/>
    <mergeCell ref="CA25:CA36"/>
    <mergeCell ref="CB44:CC44"/>
    <mergeCell ref="CG45:CH45"/>
    <mergeCell ref="CH66:CH84"/>
    <mergeCell ref="CI25:CI26"/>
    <mergeCell ref="AT4:AU4"/>
    <mergeCell ref="AT5:AU5"/>
    <mergeCell ref="AT6:AU6"/>
    <mergeCell ref="BB25:BB26"/>
    <mergeCell ref="AT9:AU9"/>
    <mergeCell ref="AT10:AT17"/>
    <mergeCell ref="AT7:AU7"/>
    <mergeCell ref="AT8:AU8"/>
    <mergeCell ref="BB10:BB11"/>
    <mergeCell ref="AT18:AT24"/>
    <mergeCell ref="AS1:BC1"/>
    <mergeCell ref="AT2:AU2"/>
    <mergeCell ref="AV2:AW2"/>
    <mergeCell ref="AT3:AU3"/>
    <mergeCell ref="BB18:BB19"/>
    <mergeCell ref="AT25:AT36"/>
    <mergeCell ref="AZ45:BA45"/>
    <mergeCell ref="BA66:BA84"/>
    <mergeCell ref="BC25:BC26"/>
    <mergeCell ref="AT37:AT43"/>
    <mergeCell ref="BB37:BB38"/>
    <mergeCell ref="AU44:AV44"/>
    <mergeCell ref="W1:AG1"/>
    <mergeCell ref="X2:Y2"/>
    <mergeCell ref="Z2:AA2"/>
    <mergeCell ref="X3:Y3"/>
    <mergeCell ref="AF3:AG3"/>
    <mergeCell ref="X4:Y4"/>
    <mergeCell ref="AF4:AG4"/>
    <mergeCell ref="X5:Y5"/>
    <mergeCell ref="AF5:AG5"/>
    <mergeCell ref="X6:Y6"/>
    <mergeCell ref="AF6:AG6"/>
    <mergeCell ref="X7:Y7"/>
    <mergeCell ref="X8:Y8"/>
    <mergeCell ref="X9:Y9"/>
    <mergeCell ref="X10:X17"/>
    <mergeCell ref="AF10:AF11"/>
    <mergeCell ref="AG10:AG11"/>
    <mergeCell ref="X18:X24"/>
    <mergeCell ref="AF18:AF19"/>
    <mergeCell ref="AG18:AG19"/>
    <mergeCell ref="X25:X36"/>
    <mergeCell ref="AF25:AF26"/>
    <mergeCell ref="AG25:AG26"/>
    <mergeCell ref="X37:X43"/>
    <mergeCell ref="AF37:AF38"/>
    <mergeCell ref="AG37:AG38"/>
    <mergeCell ref="L1:V1"/>
    <mergeCell ref="M2:N2"/>
    <mergeCell ref="O2:P2"/>
    <mergeCell ref="M3:N3"/>
    <mergeCell ref="U3:V3"/>
    <mergeCell ref="M4:N4"/>
    <mergeCell ref="U4:V4"/>
    <mergeCell ref="M5:N5"/>
    <mergeCell ref="U5:V5"/>
    <mergeCell ref="M6:N6"/>
    <mergeCell ref="U6:V6"/>
    <mergeCell ref="M7:N7"/>
    <mergeCell ref="M8:N8"/>
    <mergeCell ref="M9:N9"/>
    <mergeCell ref="M10:M17"/>
    <mergeCell ref="U10:U11"/>
    <mergeCell ref="V10:V11"/>
    <mergeCell ref="M18:M24"/>
    <mergeCell ref="U18:U19"/>
    <mergeCell ref="V18:V19"/>
    <mergeCell ref="M25:M36"/>
    <mergeCell ref="U25:U26"/>
    <mergeCell ref="V25:V26"/>
    <mergeCell ref="M37:M43"/>
    <mergeCell ref="U37:U38"/>
    <mergeCell ref="V37:V38"/>
  </mergeCells>
  <dataValidations count="24">
    <dataValidation type="list" allowBlank="1" showInputMessage="1" showErrorMessage="1" promptTitle="売買する株" prompt="リストから選択します。" sqref="EP87:EP90 DT87:DT90 CX87:CX90 CB87:CB90 AU87:AU90 C87:C90">
      <formula1>$EP$27:$EP$36</formula1>
    </dataValidation>
    <dataValidation type="list" allowBlank="1" showInputMessage="1" showErrorMessage="1" promptTitle="株売買を行ったプレイヤー名" prompt="リストから選択します。&#10;" imeMode="disabled" sqref="EQ87:EQ90 EQ46:EQ85 FM46:FM89 DU87:DU90 DU46:DU85 CY87:CY90 CY46:CY85 CC87:CC90 CC46:CC85 AV87:AV90 AV46:AV85 D87:D90 D46:D85">
      <formula1>$EQ$3:$EV$3</formula1>
    </dataValidation>
    <dataValidation allowBlank="1" showInputMessage="1" showErrorMessage="1" promptTitle="売買株数" prompt="購入の場合は「＋」、売却の場合は「－」で入力する。" sqref="ER87:ER90 ER46:ER85 FN46:FN89 DV87:DV90 DV46:DV85 CZ87:CZ90 CZ46:CZ85 CD87:CD90 CD46:CD85 AW87:AW90 AW46:AW85 E87:E90 E46:E85"/>
    <dataValidation allowBlank="1" showInputMessage="1" showErrorMessage="1" promptTitle="売買株の価格" prompt="売買時の価格を入力します。" sqref="ES87:ES90 DW87:DW90 DA87:DA90 CE87:CE90 AX87:AX90 F87:F90"/>
    <dataValidation allowBlank="1" showInputMessage="1" showErrorMessage="1" promptTitle="プレイヤー名" prompt="プレイヤーの名前を入力します。" imeMode="on" sqref="FM3:FR3"/>
    <dataValidation allowBlank="1" showInputMessage="1" showErrorMessage="1" promptTitle="個人会社の入札金額" prompt="個人会社の入札金額を入力します。&#10;入札を降りた場合は入力した金額をクリアします。" sqref="FM12:FR17"/>
    <dataValidation allowBlank="1" showInputMessage="1" showErrorMessage="1" promptTitle="小会社の入札金額" prompt="小会社の入札金額を入力します。&#10;入札を降りた場合は入力した金額をクリアします。" sqref="FM20:FR24"/>
    <dataValidation allowBlank="1" showInputMessage="1" showErrorMessage="1" promptTitle="売却益" prompt="個人会社を売却した等、プレイヤーへ直接の収入があった場合に入力します。" sqref="FB9:FG9 EF9:EK9 DJ9:DO9 CN9:CS9 BR9:BW9 BG9:BL9 AK9:AP9 Z9:AE9 O9:T9"/>
    <dataValidation allowBlank="1" showInputMessage="1" showErrorMessage="1" promptTitle="支出" prompt="手差しで列車を購入した等、プレイヤーから直接の支出があった場合に入力します。" sqref="FB7:FG7 EF7:EK7 DJ7:DO7 CN7:CS7 BR7:BW7 BG7:BL7 AK7:AP7 Z7:AE7 O7:T7"/>
    <dataValidation allowBlank="1" showInputMessage="1" showErrorMessage="1" promptTitle="個人会社の所有状態" prompt="個人会社の所有状態を入力します。&#10;○：運営ラウンド中常に所有&#10;×：運営ラウンド中に公共会社へ売却" sqref="FB12:FG17 EF12:EK17 DJ12:DO17 CN12:CS17 CO21:CO22 BR12:BW17 BS21:BS22 BG12:BL17 BH21:BH22 AK12:AP17 AL21:AL22 Z12:AE17 AA21:AA22 O12:T17 P21:P22"/>
    <dataValidation allowBlank="1" showInputMessage="1" showErrorMessage="1" promptTitle="小会社の所有状態" prompt="小会社の所有状態を入力します。&#10;○：運営ラウンドの最後まで所有&#10;×：運営ラウンド中に公共会社へ合併" sqref="FB20:FG23 EF20:EK23 DJ20:DO23 CN20:CN23 CP20:CS23 CO20 CO23 BR20:BR23 BT20:BW23 BS20 BS23 BG20:BG23 BI20:BL23 BH20 BH23 AK20:AK23 AM20:AP23 AL20 AL23 Z20:Z23 AB20:AE23 AA20 AA23 O20:O23 Q20:T23 P20 P23"/>
    <dataValidation allowBlank="1" showInputMessage="1" showErrorMessage="1" promptTitle="＜注意＞" prompt="腹切時の株売却処理には対応出来ていませんのでご了承ねがいます。" sqref="FB31:FG36 FB27:FG28 EF31:EK36 EF27:EK28 DJ31:DO36 DJ27:DO28 CN31:CS36 CN27:CS28 BR31:BW36 BR27:BW28 BG31:BL36 BG27:BL28 AK31:AP36 AK27:AP28 Z31:AE36 Z27:AE28 O31:T36 O27:T28"/>
    <dataValidation allowBlank="1" showInputMessage="1" showErrorMessage="1" promptTitle="配当額" prompt="小会社が配当した際のプレイヤー配当額を入力します。&#10;数字：配当時のプレイヤー配当額&#10;0：無配時" sqref="FH20:FH24 EL20:EL24 DP20:DP24 CT20:CT24 BX20:BX24 BM20:BM24 AQ20:AQ24 AF20:AF24 U20:U24"/>
    <dataValidation allowBlank="1" showInputMessage="1" showErrorMessage="1" promptTitle="１株当りの配当額" prompt="公共会社の配当・無配を入力します。&#10;数字：配当時の１株当りの配当額&#10;0：無配時" sqref="FH31:FH36 FH27:FH29 EL31:EL36 EL27:EL29 DP31:DP36 DP27:DP29 CT31:CT36 CT27:CT29 BX31:BX36 BX27:BX29 BM31:BM36 BM27:BM29 AQ31:AQ36 AQ27:AQ29 AF31:AF36 AF27:AF29 U31:U36 U27:U29"/>
    <dataValidation allowBlank="1" showInputMessage="1" showErrorMessage="1" promptTitle="後発会社の配当額" prompt="「神戸高速」と「北急」は、配当が変化しますので、その都度入力してください。" sqref="FH41:FH42 EL41:EL42 DP41:DP42 CT41:CT42 BX41:BX42 BM41:BM42 AQ41:AQ42 AF41:AF42 U41:U42"/>
    <dataValidation allowBlank="1" showInputMessage="1" showErrorMessage="1" promptTitle="小会社の所有状態" prompt="小会社の所有状態を入力します。&#10;○：運営ラウンドの最後まで所有&#10;×：運営ラウンド中に後発会社へ変更" sqref="FB24:FG24 EF24:EK24 DJ24:DO24 CN24:CS24 BR24:BW24 BG24:BL24 AK24:AP24 Z24:AE24 O24:T24"/>
    <dataValidation allowBlank="1" showInputMessage="1" showErrorMessage="1" promptTitle="売買後の価格" prompt="売買後の価格を入力します。&#10;株売りが発生した場合は、低下後の価格を入力します。" sqref="ET46:ET85 FP46:FP89 DX46:DX85 DB46:DB85 CF46:CF85 AY46:AY85 G46:G85"/>
    <dataValidation allowBlank="1" showInputMessage="1" showErrorMessage="1" promptTitle="売買時の価格" prompt="売買時の価格を入力します。" sqref="ES46:ES85 FO46:FO89 DW46:DW85 DA46:DA85 CE46:CE85 AX46:AX85 F46:F85"/>
    <dataValidation allowBlank="1" showInputMessage="1" showErrorMessage="1" promptTitle="近鉄子会社の合併株数（合併前）" prompt="今運営ラウンドの「近鉄」運営前に小会社を近鉄へ合弁した場合は、&#10;合弁で入手した「近鉄」の株数をこちらに入力します。&#10;なお、腹切時の株売却処理には対応出来ていませんのでご了承ねがいます。" sqref="FB29:FG29 EF29:EK29 DJ29:DO29 CN29:CS29 BR29:BW29 BG29:BL29 AK29:AP29 Z29:AE29 O29:T29"/>
    <dataValidation allowBlank="1" showInputMessage="1" showErrorMessage="1" promptTitle="近鉄子会社の合併株数（運営後）" prompt="今運営ラウンドの「近鉄」運営後に小会社を近鉄へ合弁した場合は、&#10;合弁で入手した「近鉄」の株数をこちらに入力します。&#10;なお、腹切時の株売却処理には対応出来ていませんのでご了承ねがいます。" sqref="FB30:FG30 EF30:EK30 DJ30:DO30 CN30:CS30 BR30:BW30 BG30:BL30 AK30:AP30 Z30:AE30 O30:T30"/>
    <dataValidation type="list" allowBlank="1" showInputMessage="1" showErrorMessage="1" promptTitle="売買する株" prompt="リストから選択します。" sqref="EP46:EP85 DT46:DT85 CX46:CX85 CB46:CB85 AU46:AU85 C46:C85">
      <formula1>EP$27:EP$36</formula1>
    </dataValidation>
    <dataValidation type="list" allowBlank="1" showInputMessage="1" showErrorMessage="1" promptTitle="売買する株" prompt="リストから選択します。" sqref="FL46:FL89">
      <formula1>$FL$27:$FL$36</formula1>
    </dataValidation>
    <dataValidation allowBlank="1" showInputMessage="1" showErrorMessage="1" promptTitle="後発会社の所有状態" prompt="後発会社の所有状態を入力します。&#10;○：所有（購入）" sqref="EQ40:EV43 DU40:DZ43 CY40:DD43 CC40:CH43 AV40:BA43 D40:I43"/>
    <dataValidation allowBlank="1" showInputMessage="1" showErrorMessage="1" promptTitle="＜注意＞" prompt="費用での&quot;-&quot;は現金の増加を示します。" sqref="EQ26:EV26 DU26:DZ26 CY26:DD26 CC26:CH26 AV26:BA26 D26:I26"/>
  </dataValidations>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A1:T11"/>
  <sheetViews>
    <sheetView workbookViewId="0" topLeftCell="A1">
      <selection activeCell="G9" sqref="G9"/>
    </sheetView>
  </sheetViews>
  <sheetFormatPr defaultColWidth="9.00390625" defaultRowHeight="34.5" customHeight="1"/>
  <cols>
    <col min="1" max="16384" width="5.625" style="4" customWidth="1"/>
  </cols>
  <sheetData>
    <row r="1" spans="1:18" ht="34.5" customHeight="1">
      <c r="A1" s="5">
        <v>70</v>
      </c>
      <c r="B1" s="5">
        <v>75</v>
      </c>
      <c r="C1" s="5">
        <v>80</v>
      </c>
      <c r="D1" s="9">
        <v>90</v>
      </c>
      <c r="E1" s="12">
        <v>100</v>
      </c>
      <c r="F1" s="10">
        <v>110</v>
      </c>
      <c r="G1" s="5">
        <v>125</v>
      </c>
      <c r="H1" s="5">
        <v>150</v>
      </c>
      <c r="I1" s="5">
        <v>175</v>
      </c>
      <c r="J1" s="5">
        <v>200</v>
      </c>
      <c r="K1" s="5">
        <v>225</v>
      </c>
      <c r="L1" s="5">
        <v>250</v>
      </c>
      <c r="M1" s="5">
        <v>275</v>
      </c>
      <c r="N1" s="5">
        <v>300</v>
      </c>
      <c r="O1" s="5">
        <v>325</v>
      </c>
      <c r="P1" s="5">
        <v>350</v>
      </c>
      <c r="Q1" s="5">
        <v>375</v>
      </c>
      <c r="R1" s="5">
        <v>400</v>
      </c>
    </row>
    <row r="2" spans="1:18" ht="34.5" customHeight="1">
      <c r="A2" s="5">
        <v>65</v>
      </c>
      <c r="B2" s="5">
        <v>70</v>
      </c>
      <c r="C2" s="5">
        <v>75</v>
      </c>
      <c r="D2" s="9">
        <v>80</v>
      </c>
      <c r="E2" s="13">
        <v>90</v>
      </c>
      <c r="F2" s="10">
        <v>100</v>
      </c>
      <c r="G2" s="5">
        <v>110</v>
      </c>
      <c r="H2" s="5">
        <v>125</v>
      </c>
      <c r="I2" s="5">
        <v>150</v>
      </c>
      <c r="J2" s="5">
        <v>175</v>
      </c>
      <c r="K2" s="5">
        <v>200</v>
      </c>
      <c r="L2" s="5">
        <v>225</v>
      </c>
      <c r="M2" s="5">
        <v>250</v>
      </c>
      <c r="N2" s="5">
        <v>275</v>
      </c>
      <c r="O2" s="5">
        <v>300</v>
      </c>
      <c r="P2" s="5">
        <v>325</v>
      </c>
      <c r="Q2" s="5">
        <v>350</v>
      </c>
      <c r="R2" s="5">
        <v>375</v>
      </c>
    </row>
    <row r="3" spans="1:16" ht="34.5" customHeight="1">
      <c r="A3" s="5">
        <v>60</v>
      </c>
      <c r="B3" s="5">
        <v>65</v>
      </c>
      <c r="C3" s="5">
        <v>70</v>
      </c>
      <c r="D3" s="9">
        <v>75</v>
      </c>
      <c r="E3" s="13">
        <v>80</v>
      </c>
      <c r="F3" s="10">
        <v>90</v>
      </c>
      <c r="G3" s="5">
        <v>100</v>
      </c>
      <c r="H3" s="5">
        <v>110</v>
      </c>
      <c r="I3" s="5">
        <v>125</v>
      </c>
      <c r="J3" s="5">
        <v>150</v>
      </c>
      <c r="K3" s="5">
        <v>175</v>
      </c>
      <c r="L3" s="5">
        <v>200</v>
      </c>
      <c r="M3" s="5">
        <v>225</v>
      </c>
      <c r="N3" s="5">
        <v>250</v>
      </c>
      <c r="O3" s="5">
        <v>275</v>
      </c>
      <c r="P3" s="5">
        <v>300</v>
      </c>
    </row>
    <row r="4" spans="1:14" ht="34.5" customHeight="1">
      <c r="A4" s="5">
        <v>55</v>
      </c>
      <c r="B4" s="5">
        <v>60</v>
      </c>
      <c r="C4" s="5">
        <v>65</v>
      </c>
      <c r="D4" s="9">
        <v>70</v>
      </c>
      <c r="E4" s="13">
        <v>75</v>
      </c>
      <c r="F4" s="10">
        <v>80</v>
      </c>
      <c r="G4" s="5">
        <v>90</v>
      </c>
      <c r="H4" s="5">
        <v>100</v>
      </c>
      <c r="I4" s="5">
        <v>110</v>
      </c>
      <c r="J4" s="5">
        <v>125</v>
      </c>
      <c r="K4" s="5">
        <v>150</v>
      </c>
      <c r="L4" s="5">
        <v>175</v>
      </c>
      <c r="M4" s="5">
        <v>200</v>
      </c>
      <c r="N4" s="5">
        <v>225</v>
      </c>
    </row>
    <row r="5" spans="1:20" ht="34.5" customHeight="1">
      <c r="A5" s="8">
        <v>50</v>
      </c>
      <c r="B5" s="5">
        <v>55</v>
      </c>
      <c r="C5" s="5">
        <v>60</v>
      </c>
      <c r="D5" s="9">
        <v>65</v>
      </c>
      <c r="E5" s="13">
        <v>70</v>
      </c>
      <c r="F5" s="10">
        <v>75</v>
      </c>
      <c r="G5" s="5">
        <v>80</v>
      </c>
      <c r="H5" s="5">
        <v>90</v>
      </c>
      <c r="I5" s="5">
        <v>100</v>
      </c>
      <c r="J5" s="5">
        <v>110</v>
      </c>
      <c r="K5" s="5">
        <v>125</v>
      </c>
      <c r="L5" s="5">
        <v>150</v>
      </c>
      <c r="O5" s="551" t="s">
        <v>102</v>
      </c>
      <c r="P5" s="551"/>
      <c r="Q5" s="551"/>
      <c r="R5" s="551"/>
      <c r="S5" s="39"/>
      <c r="T5" s="39"/>
    </row>
    <row r="6" spans="1:16" ht="34.5" customHeight="1" thickBot="1">
      <c r="A6" s="8">
        <v>45</v>
      </c>
      <c r="B6" s="8">
        <v>50</v>
      </c>
      <c r="C6" s="5">
        <v>55</v>
      </c>
      <c r="D6" s="9">
        <v>60</v>
      </c>
      <c r="E6" s="14">
        <v>65</v>
      </c>
      <c r="F6" s="10">
        <v>70</v>
      </c>
      <c r="G6" s="5">
        <v>75</v>
      </c>
      <c r="H6" s="5">
        <v>80</v>
      </c>
      <c r="I6" s="5">
        <v>90</v>
      </c>
      <c r="J6" s="5">
        <v>100</v>
      </c>
      <c r="K6" s="15" t="s">
        <v>17</v>
      </c>
      <c r="P6" s="38"/>
    </row>
    <row r="7" spans="1:8" ht="34.5" customHeight="1">
      <c r="A7" s="7">
        <v>40</v>
      </c>
      <c r="B7" s="8">
        <v>45</v>
      </c>
      <c r="C7" s="8">
        <v>50</v>
      </c>
      <c r="D7" s="5">
        <v>55</v>
      </c>
      <c r="E7" s="11">
        <v>60</v>
      </c>
      <c r="F7" s="5">
        <v>65</v>
      </c>
      <c r="G7" s="5">
        <v>70</v>
      </c>
      <c r="H7" s="5">
        <v>75</v>
      </c>
    </row>
    <row r="8" spans="1:13" ht="34.5" customHeight="1" thickBot="1">
      <c r="A8" s="7">
        <v>35</v>
      </c>
      <c r="B8" s="7">
        <v>40</v>
      </c>
      <c r="C8" s="8">
        <v>45</v>
      </c>
      <c r="D8" s="8">
        <v>50</v>
      </c>
      <c r="E8" s="5">
        <v>55</v>
      </c>
      <c r="F8" s="5">
        <v>60</v>
      </c>
      <c r="H8" s="550" t="s">
        <v>18</v>
      </c>
      <c r="I8" s="550"/>
      <c r="J8" s="550"/>
      <c r="K8" s="550"/>
      <c r="L8" s="550"/>
      <c r="M8" s="550"/>
    </row>
    <row r="9" spans="1:13" ht="34.5" customHeight="1">
      <c r="A9" s="7">
        <v>30</v>
      </c>
      <c r="B9" s="7">
        <v>35</v>
      </c>
      <c r="C9" s="7">
        <v>40</v>
      </c>
      <c r="D9" s="8">
        <v>45</v>
      </c>
      <c r="E9" s="8">
        <v>50</v>
      </c>
      <c r="H9" s="35">
        <v>65</v>
      </c>
      <c r="I9" s="32">
        <v>70</v>
      </c>
      <c r="J9" s="32">
        <v>75</v>
      </c>
      <c r="K9" s="32">
        <v>80</v>
      </c>
      <c r="L9" s="32">
        <v>90</v>
      </c>
      <c r="M9" s="552">
        <v>100</v>
      </c>
    </row>
    <row r="10" spans="1:13" ht="34.5" customHeight="1">
      <c r="A10" s="6" t="s">
        <v>19</v>
      </c>
      <c r="B10" s="7">
        <v>30</v>
      </c>
      <c r="C10" s="7">
        <v>35</v>
      </c>
      <c r="D10" s="7">
        <v>40</v>
      </c>
      <c r="E10" s="8">
        <v>45</v>
      </c>
      <c r="H10" s="36"/>
      <c r="I10" s="33"/>
      <c r="J10" s="33"/>
      <c r="K10" s="33"/>
      <c r="L10" s="33"/>
      <c r="M10" s="553"/>
    </row>
    <row r="11" spans="1:13" ht="34.5" customHeight="1" thickBot="1">
      <c r="A11" s="6" t="s">
        <v>19</v>
      </c>
      <c r="B11" s="6" t="s">
        <v>19</v>
      </c>
      <c r="C11" s="7">
        <v>30</v>
      </c>
      <c r="D11" s="7">
        <v>35</v>
      </c>
      <c r="E11" s="7">
        <v>40</v>
      </c>
      <c r="H11" s="37"/>
      <c r="I11" s="34"/>
      <c r="J11" s="34"/>
      <c r="K11" s="34"/>
      <c r="L11" s="34"/>
      <c r="M11" s="554"/>
    </row>
  </sheetData>
  <mergeCells count="3">
    <mergeCell ref="H8:M8"/>
    <mergeCell ref="O5:R5"/>
    <mergeCell ref="M9:M11"/>
  </mergeCells>
  <printOptions/>
  <pageMargins left="0.75" right="0.75" top="1" bottom="1" header="0.512" footer="0.512"/>
  <pageSetup horizontalDpi="200" verticalDpi="200" orientation="portrait" paperSize="9" r:id="rId2"/>
  <drawing r:id="rId1"/>
</worksheet>
</file>

<file path=xl/worksheets/sheet4.xml><?xml version="1.0" encoding="utf-8"?>
<worksheet xmlns="http://schemas.openxmlformats.org/spreadsheetml/2006/main" xmlns:r="http://schemas.openxmlformats.org/officeDocument/2006/relationships">
  <dimension ref="A2:AH31"/>
  <sheetViews>
    <sheetView zoomScale="140" zoomScaleNormal="140" workbookViewId="0" topLeftCell="C1">
      <selection activeCell="AC10" sqref="AC10"/>
    </sheetView>
  </sheetViews>
  <sheetFormatPr defaultColWidth="9.00390625" defaultRowHeight="15" customHeight="1"/>
  <cols>
    <col min="1" max="46" width="2.50390625" style="3" customWidth="1"/>
    <col min="47" max="16384" width="4.625" style="3" customWidth="1"/>
  </cols>
  <sheetData>
    <row r="1" ht="9" customHeight="1"/>
    <row r="2" spans="1:34" ht="13.5" customHeight="1">
      <c r="A2" s="555" t="s">
        <v>160</v>
      </c>
      <c r="B2" s="359"/>
      <c r="C2" s="565"/>
      <c r="D2" s="565"/>
      <c r="E2" s="565"/>
      <c r="F2" s="565"/>
      <c r="G2" s="565"/>
      <c r="H2" s="565"/>
      <c r="I2" s="565"/>
      <c r="J2" s="565"/>
      <c r="K2" s="565"/>
      <c r="L2" s="565"/>
      <c r="M2" s="565"/>
      <c r="N2" s="566"/>
      <c r="O2" s="560" t="s">
        <v>110</v>
      </c>
      <c r="P2" s="561"/>
      <c r="Q2" s="351"/>
      <c r="R2" s="352"/>
      <c r="S2" s="565"/>
      <c r="T2" s="566"/>
      <c r="U2" s="560" t="s">
        <v>132</v>
      </c>
      <c r="V2" s="561"/>
      <c r="W2" s="555" t="s">
        <v>160</v>
      </c>
      <c r="X2"/>
      <c r="Y2"/>
      <c r="Z2"/>
      <c r="AA2"/>
      <c r="AB2"/>
      <c r="AC2" s="2"/>
      <c r="AD2" s="2"/>
      <c r="AE2" s="2"/>
      <c r="AF2" s="2"/>
      <c r="AG2" s="2"/>
      <c r="AH2" s="2"/>
    </row>
    <row r="3" spans="1:33" ht="13.5" customHeight="1">
      <c r="A3" s="556"/>
      <c r="B3" s="362"/>
      <c r="C3" s="565"/>
      <c r="D3" s="565"/>
      <c r="E3" s="565"/>
      <c r="F3" s="565"/>
      <c r="G3" s="565"/>
      <c r="H3" s="565"/>
      <c r="I3" s="565"/>
      <c r="J3" s="565"/>
      <c r="K3" s="565"/>
      <c r="L3" s="565"/>
      <c r="M3" s="565"/>
      <c r="N3" s="566"/>
      <c r="O3" s="562" t="s">
        <v>111</v>
      </c>
      <c r="P3" s="563"/>
      <c r="Q3" s="353"/>
      <c r="R3" s="257"/>
      <c r="S3" s="567"/>
      <c r="T3" s="566"/>
      <c r="U3" s="562" t="s">
        <v>133</v>
      </c>
      <c r="V3" s="563"/>
      <c r="W3" s="556"/>
      <c r="X3"/>
      <c r="Y3"/>
      <c r="Z3"/>
      <c r="AA3"/>
      <c r="AB3"/>
      <c r="AC3" s="2"/>
      <c r="AD3" s="2"/>
      <c r="AE3" s="2"/>
      <c r="AF3" s="2"/>
      <c r="AG3" s="2"/>
    </row>
    <row r="4" spans="1:28" ht="13.5" customHeight="1">
      <c r="A4" s="555" t="s">
        <v>161</v>
      </c>
      <c r="B4" s="358"/>
      <c r="C4" s="359"/>
      <c r="D4" s="360"/>
      <c r="E4" s="359"/>
      <c r="F4" s="360"/>
      <c r="G4" s="359"/>
      <c r="H4" s="560" t="s">
        <v>110</v>
      </c>
      <c r="I4" s="561"/>
      <c r="J4" s="351"/>
      <c r="K4" s="352"/>
      <c r="L4" s="351"/>
      <c r="M4" s="352"/>
      <c r="N4" s="351"/>
      <c r="O4" s="352"/>
      <c r="P4" s="351"/>
      <c r="Q4" s="352"/>
      <c r="R4" s="354"/>
      <c r="S4" s="379" t="s">
        <v>134</v>
      </c>
      <c r="T4" s="354"/>
      <c r="U4" s="355"/>
      <c r="V4" s="350"/>
      <c r="W4" s="555" t="s">
        <v>161</v>
      </c>
      <c r="X4"/>
      <c r="Y4"/>
      <c r="Z4"/>
      <c r="AA4"/>
      <c r="AB4"/>
    </row>
    <row r="5" spans="1:28" ht="13.5" customHeight="1">
      <c r="A5" s="556"/>
      <c r="B5" s="361"/>
      <c r="C5" s="362"/>
      <c r="D5" s="363"/>
      <c r="E5" s="362"/>
      <c r="F5" s="363"/>
      <c r="G5" s="362"/>
      <c r="H5" s="562" t="s">
        <v>111</v>
      </c>
      <c r="I5" s="564"/>
      <c r="J5" s="353"/>
      <c r="K5" s="257"/>
      <c r="L5" s="353"/>
      <c r="M5" s="257"/>
      <c r="N5" s="353"/>
      <c r="O5" s="257"/>
      <c r="P5" s="353"/>
      <c r="Q5" s="257"/>
      <c r="R5" s="356"/>
      <c r="S5" s="357"/>
      <c r="T5" s="356"/>
      <c r="U5" s="357"/>
      <c r="V5" s="349"/>
      <c r="W5" s="556"/>
      <c r="X5"/>
      <c r="Y5"/>
      <c r="Z5"/>
      <c r="AA5"/>
      <c r="AB5"/>
    </row>
    <row r="6" spans="1:28" ht="13.5" customHeight="1">
      <c r="A6" s="555" t="s">
        <v>162</v>
      </c>
      <c r="B6" s="359"/>
      <c r="C6" s="360"/>
      <c r="D6" s="359"/>
      <c r="E6" s="351"/>
      <c r="F6" s="352"/>
      <c r="G6" s="351"/>
      <c r="H6" s="352"/>
      <c r="I6" s="351"/>
      <c r="J6" s="352"/>
      <c r="K6" s="351"/>
      <c r="L6" s="352"/>
      <c r="M6" s="351"/>
      <c r="N6" s="352"/>
      <c r="O6" s="351"/>
      <c r="P6" s="352"/>
      <c r="Q6" s="351"/>
      <c r="R6" s="407"/>
      <c r="S6" s="370"/>
      <c r="T6" s="352"/>
      <c r="U6" s="360"/>
      <c r="V6" s="359"/>
      <c r="W6" s="555" t="s">
        <v>162</v>
      </c>
      <c r="X6"/>
      <c r="Y6"/>
      <c r="Z6"/>
      <c r="AA6"/>
      <c r="AB6"/>
    </row>
    <row r="7" spans="1:28" ht="13.5" customHeight="1" thickBot="1">
      <c r="A7" s="556"/>
      <c r="B7" s="362"/>
      <c r="C7" s="363"/>
      <c r="D7" s="362"/>
      <c r="E7" s="353"/>
      <c r="F7" s="257"/>
      <c r="G7" s="353"/>
      <c r="H7" s="257"/>
      <c r="I7" s="353"/>
      <c r="J7" s="257"/>
      <c r="K7" s="353"/>
      <c r="L7" s="257"/>
      <c r="M7" s="353"/>
      <c r="N7" s="257"/>
      <c r="O7" s="353"/>
      <c r="P7" s="257"/>
      <c r="Q7" s="353"/>
      <c r="R7" s="408"/>
      <c r="S7" s="371"/>
      <c r="T7" s="372"/>
      <c r="U7" s="369"/>
      <c r="V7" s="362"/>
      <c r="W7" s="556"/>
      <c r="X7"/>
      <c r="Y7"/>
      <c r="Z7"/>
      <c r="AA7"/>
      <c r="AB7"/>
    </row>
    <row r="8" spans="1:28" ht="13.5" customHeight="1" thickTop="1">
      <c r="A8" s="555" t="s">
        <v>163</v>
      </c>
      <c r="B8" s="360"/>
      <c r="C8" s="359"/>
      <c r="D8" s="396"/>
      <c r="E8" s="387" t="s">
        <v>145</v>
      </c>
      <c r="F8" s="429"/>
      <c r="G8" s="430" t="s">
        <v>138</v>
      </c>
      <c r="H8" s="388"/>
      <c r="I8" s="387" t="s">
        <v>137</v>
      </c>
      <c r="J8" s="388"/>
      <c r="K8" s="387" t="s">
        <v>136</v>
      </c>
      <c r="L8" s="388"/>
      <c r="M8" s="387"/>
      <c r="N8" s="388"/>
      <c r="O8" s="387"/>
      <c r="P8" s="388"/>
      <c r="Q8" s="410" t="s">
        <v>135</v>
      </c>
      <c r="R8" s="409"/>
      <c r="S8" s="389"/>
      <c r="T8" s="366"/>
      <c r="U8" s="373" t="s">
        <v>104</v>
      </c>
      <c r="V8" s="359"/>
      <c r="W8" s="555" t="s">
        <v>163</v>
      </c>
      <c r="X8"/>
      <c r="Y8"/>
      <c r="Z8"/>
      <c r="AA8"/>
      <c r="AB8"/>
    </row>
    <row r="9" spans="1:28" ht="13.5" customHeight="1" thickBot="1">
      <c r="A9" s="556"/>
      <c r="B9" s="363"/>
      <c r="C9" s="362"/>
      <c r="D9" s="390"/>
      <c r="E9" s="391"/>
      <c r="F9" s="431"/>
      <c r="G9" s="432"/>
      <c r="H9" s="390"/>
      <c r="I9" s="391"/>
      <c r="J9" s="390"/>
      <c r="K9" s="391"/>
      <c r="L9" s="390"/>
      <c r="M9" s="391"/>
      <c r="N9" s="390"/>
      <c r="O9" s="391"/>
      <c r="P9" s="390"/>
      <c r="Q9" s="411"/>
      <c r="R9" s="392"/>
      <c r="S9" s="392"/>
      <c r="T9" s="367"/>
      <c r="U9" s="368"/>
      <c r="V9" s="362"/>
      <c r="W9" s="556"/>
      <c r="X9"/>
      <c r="Y9"/>
      <c r="Z9"/>
      <c r="AA9"/>
      <c r="AB9"/>
    </row>
    <row r="10" spans="1:28" ht="13.5" customHeight="1" thickTop="1">
      <c r="A10" s="555" t="s">
        <v>164</v>
      </c>
      <c r="B10" s="359"/>
      <c r="C10" s="351"/>
      <c r="D10" s="387"/>
      <c r="E10" s="388"/>
      <c r="F10" s="387"/>
      <c r="G10" s="388"/>
      <c r="H10" s="387"/>
      <c r="I10" s="388"/>
      <c r="J10" s="389"/>
      <c r="K10" s="403"/>
      <c r="L10" s="387" t="s">
        <v>139</v>
      </c>
      <c r="M10" s="388"/>
      <c r="N10" s="387" t="s">
        <v>140</v>
      </c>
      <c r="O10" s="417"/>
      <c r="P10" s="418" t="s">
        <v>142</v>
      </c>
      <c r="Q10" s="412" t="s">
        <v>141</v>
      </c>
      <c r="R10" s="414"/>
      <c r="S10" s="403"/>
      <c r="T10" s="372"/>
      <c r="U10" s="369"/>
      <c r="V10" s="359"/>
      <c r="W10" s="555" t="s">
        <v>164</v>
      </c>
      <c r="X10"/>
      <c r="Y10"/>
      <c r="Z10"/>
      <c r="AA10"/>
      <c r="AB10"/>
    </row>
    <row r="11" spans="1:28" ht="13.5" customHeight="1" thickBot="1">
      <c r="A11" s="556"/>
      <c r="B11" s="362"/>
      <c r="C11" s="353"/>
      <c r="D11" s="391"/>
      <c r="E11" s="390"/>
      <c r="F11" s="391"/>
      <c r="G11" s="390"/>
      <c r="H11" s="391"/>
      <c r="I11" s="390"/>
      <c r="J11" s="392"/>
      <c r="K11" s="404"/>
      <c r="L11" s="391"/>
      <c r="M11" s="390"/>
      <c r="N11" s="391"/>
      <c r="O11" s="419"/>
      <c r="P11" s="420"/>
      <c r="Q11" s="413"/>
      <c r="R11" s="413"/>
      <c r="S11" s="416"/>
      <c r="T11" s="257"/>
      <c r="U11" s="363"/>
      <c r="V11" s="362"/>
      <c r="W11" s="556"/>
      <c r="X11"/>
      <c r="Y11"/>
      <c r="Z11"/>
      <c r="AA11"/>
      <c r="AB11"/>
    </row>
    <row r="12" spans="1:28" ht="13.5" customHeight="1" thickTop="1">
      <c r="A12" s="555" t="s">
        <v>165</v>
      </c>
      <c r="B12" s="560" t="s">
        <v>121</v>
      </c>
      <c r="C12" s="561"/>
      <c r="D12" s="388"/>
      <c r="E12" s="387" t="s">
        <v>143</v>
      </c>
      <c r="F12" s="393"/>
      <c r="G12" s="379" t="s">
        <v>144</v>
      </c>
      <c r="H12" s="388"/>
      <c r="I12" s="387" t="s">
        <v>146</v>
      </c>
      <c r="J12" s="388"/>
      <c r="K12" s="405" t="s">
        <v>147</v>
      </c>
      <c r="L12" s="388"/>
      <c r="M12" s="387" t="s">
        <v>148</v>
      </c>
      <c r="N12" s="388"/>
      <c r="O12" s="410" t="s">
        <v>149</v>
      </c>
      <c r="P12" s="409"/>
      <c r="Q12" s="387" t="s">
        <v>150</v>
      </c>
      <c r="R12" s="388"/>
      <c r="S12" s="415"/>
      <c r="T12" s="380"/>
      <c r="U12" s="381"/>
      <c r="V12" s="364"/>
      <c r="W12" s="555" t="s">
        <v>165</v>
      </c>
      <c r="X12"/>
      <c r="Y12"/>
      <c r="Z12" s="464">
        <f>7+4+6+4+4+3+4+3+4+5+8+3+8+4+4+4+4+4+2+3</f>
        <v>88</v>
      </c>
      <c r="AA12"/>
      <c r="AB12"/>
    </row>
    <row r="13" spans="1:28" ht="13.5" customHeight="1" thickBot="1">
      <c r="A13" s="556"/>
      <c r="B13" s="570" t="s">
        <v>122</v>
      </c>
      <c r="C13" s="564"/>
      <c r="D13" s="390"/>
      <c r="E13" s="391"/>
      <c r="F13" s="394"/>
      <c r="G13" s="395"/>
      <c r="H13" s="390"/>
      <c r="I13" s="391"/>
      <c r="J13" s="390"/>
      <c r="K13" s="406"/>
      <c r="L13" s="390"/>
      <c r="M13" s="391"/>
      <c r="N13" s="390"/>
      <c r="O13" s="411"/>
      <c r="P13" s="392"/>
      <c r="Q13" s="391"/>
      <c r="R13" s="390"/>
      <c r="S13" s="391"/>
      <c r="T13" s="382"/>
      <c r="U13" s="383"/>
      <c r="V13" s="365"/>
      <c r="W13" s="556"/>
      <c r="X13"/>
      <c r="Y13"/>
      <c r="Z13" s="573">
        <f>7+4+6+4+4+3+5+8+4+3+4+3+2+5+3+3+3+4+4+4+4+4+8+3</f>
        <v>102</v>
      </c>
      <c r="AA13"/>
      <c r="AB13"/>
    </row>
    <row r="14" spans="1:28" ht="13.5" customHeight="1" thickTop="1">
      <c r="A14" s="555" t="s">
        <v>166</v>
      </c>
      <c r="B14" s="375"/>
      <c r="C14" s="374"/>
      <c r="D14" s="375"/>
      <c r="E14" s="374"/>
      <c r="F14" s="375"/>
      <c r="G14" s="374"/>
      <c r="H14" s="375"/>
      <c r="I14" s="374"/>
      <c r="J14" s="375"/>
      <c r="K14" s="374"/>
      <c r="L14" s="375"/>
      <c r="M14" s="393"/>
      <c r="N14" s="379"/>
      <c r="O14" s="421"/>
      <c r="P14" s="422" t="s">
        <v>152</v>
      </c>
      <c r="Q14" s="388"/>
      <c r="R14" s="387" t="s">
        <v>151</v>
      </c>
      <c r="S14" s="388"/>
      <c r="T14" s="381"/>
      <c r="U14" s="398"/>
      <c r="V14" s="400"/>
      <c r="W14" s="555" t="s">
        <v>166</v>
      </c>
      <c r="X14"/>
      <c r="Y14"/>
      <c r="Z14"/>
      <c r="AA14"/>
      <c r="AB14"/>
    </row>
    <row r="15" spans="1:28" ht="13.5" customHeight="1">
      <c r="A15" s="556"/>
      <c r="B15" s="377"/>
      <c r="C15" s="376"/>
      <c r="D15" s="377"/>
      <c r="E15" s="376"/>
      <c r="F15" s="377"/>
      <c r="G15" s="376"/>
      <c r="H15" s="377"/>
      <c r="I15" s="376"/>
      <c r="J15" s="377"/>
      <c r="K15" s="376"/>
      <c r="L15" s="377"/>
      <c r="M15" s="425" t="s">
        <v>158</v>
      </c>
      <c r="N15" s="402" t="s">
        <v>159</v>
      </c>
      <c r="O15" s="419"/>
      <c r="P15" s="423"/>
      <c r="Q15" s="390"/>
      <c r="R15" s="391"/>
      <c r="S15" s="390"/>
      <c r="T15" s="383"/>
      <c r="U15" s="399"/>
      <c r="V15" s="401"/>
      <c r="W15" s="556"/>
      <c r="X15"/>
      <c r="Y15"/>
      <c r="Z15"/>
      <c r="AA15"/>
      <c r="AB15"/>
    </row>
    <row r="16" spans="1:28" ht="13.5" customHeight="1">
      <c r="A16" s="555" t="s">
        <v>167</v>
      </c>
      <c r="B16" s="374"/>
      <c r="C16" s="375"/>
      <c r="D16" s="374"/>
      <c r="E16" s="375"/>
      <c r="F16" s="374"/>
      <c r="G16" s="375"/>
      <c r="H16" s="374"/>
      <c r="I16" s="375"/>
      <c r="J16" s="374"/>
      <c r="K16" s="375"/>
      <c r="L16" s="397" t="s">
        <v>155</v>
      </c>
      <c r="M16" s="379"/>
      <c r="N16" s="393"/>
      <c r="O16" s="379"/>
      <c r="P16" s="388"/>
      <c r="Q16" s="387" t="s">
        <v>156</v>
      </c>
      <c r="R16" s="388"/>
      <c r="S16" s="387"/>
      <c r="T16" s="397" t="s">
        <v>105</v>
      </c>
      <c r="U16" s="384"/>
      <c r="V16" s="364"/>
      <c r="W16" s="555" t="s">
        <v>167</v>
      </c>
      <c r="X16"/>
      <c r="Y16"/>
      <c r="Z16"/>
      <c r="AA16"/>
      <c r="AB16"/>
    </row>
    <row r="17" spans="1:28" ht="13.5" customHeight="1">
      <c r="A17" s="556"/>
      <c r="B17" s="376"/>
      <c r="C17" s="377"/>
      <c r="D17" s="376"/>
      <c r="E17" s="377"/>
      <c r="F17" s="376"/>
      <c r="G17" s="377"/>
      <c r="H17" s="376"/>
      <c r="I17" s="377"/>
      <c r="J17" s="376"/>
      <c r="K17" s="377"/>
      <c r="L17" s="571"/>
      <c r="M17" s="572"/>
      <c r="N17" s="571" t="s">
        <v>153</v>
      </c>
      <c r="O17" s="572"/>
      <c r="P17" s="390"/>
      <c r="Q17" s="391"/>
      <c r="R17" s="390"/>
      <c r="S17" s="391"/>
      <c r="T17" s="385"/>
      <c r="U17" s="386"/>
      <c r="V17" s="365"/>
      <c r="W17" s="556"/>
      <c r="X17"/>
      <c r="Y17"/>
      <c r="Z17"/>
      <c r="AA17"/>
      <c r="AB17" s="433"/>
    </row>
    <row r="18" spans="1:28" ht="13.5" customHeight="1">
      <c r="A18" s="555" t="s">
        <v>168</v>
      </c>
      <c r="B18" s="375"/>
      <c r="C18" s="374"/>
      <c r="D18" s="375"/>
      <c r="E18" s="374"/>
      <c r="F18" s="375"/>
      <c r="G18" s="374"/>
      <c r="H18" s="375"/>
      <c r="I18" s="374"/>
      <c r="J18" s="375"/>
      <c r="K18" s="374"/>
      <c r="L18" s="378"/>
      <c r="M18" s="393"/>
      <c r="N18" s="379" t="s">
        <v>154</v>
      </c>
      <c r="O18" s="388"/>
      <c r="P18" s="387"/>
      <c r="Q18" s="388"/>
      <c r="R18" s="387"/>
      <c r="S18" s="388"/>
      <c r="T18" s="387" t="s">
        <v>202</v>
      </c>
      <c r="U18" s="360"/>
      <c r="V18" s="359"/>
      <c r="W18" s="555" t="s">
        <v>168</v>
      </c>
      <c r="X18"/>
      <c r="Y18"/>
      <c r="Z18"/>
      <c r="AA18"/>
      <c r="AB18"/>
    </row>
    <row r="19" spans="1:28" ht="13.5" customHeight="1">
      <c r="A19" s="556"/>
      <c r="B19" s="377"/>
      <c r="C19" s="376"/>
      <c r="D19" s="377"/>
      <c r="E19" s="376"/>
      <c r="F19" s="377"/>
      <c r="G19" s="376"/>
      <c r="H19" s="377"/>
      <c r="I19" s="376"/>
      <c r="J19" s="377"/>
      <c r="K19" s="376"/>
      <c r="L19" s="378"/>
      <c r="M19" s="394"/>
      <c r="N19" s="395"/>
      <c r="O19" s="390"/>
      <c r="P19" s="391"/>
      <c r="Q19" s="390"/>
      <c r="R19" s="391"/>
      <c r="S19" s="390"/>
      <c r="T19" s="383"/>
      <c r="U19" s="363"/>
      <c r="V19" s="362"/>
      <c r="W19" s="556"/>
      <c r="X19"/>
      <c r="Y19"/>
      <c r="Z19"/>
      <c r="AA19"/>
      <c r="AB19"/>
    </row>
    <row r="20" spans="1:28" ht="13.5" customHeight="1">
      <c r="A20" s="555" t="s">
        <v>169</v>
      </c>
      <c r="B20" s="374"/>
      <c r="C20" s="375"/>
      <c r="D20" s="374"/>
      <c r="E20" s="375"/>
      <c r="F20" s="374"/>
      <c r="G20" s="375"/>
      <c r="H20" s="374"/>
      <c r="I20" s="375"/>
      <c r="J20" s="374"/>
      <c r="K20" s="375"/>
      <c r="L20" s="417"/>
      <c r="M20" s="424" t="s">
        <v>112</v>
      </c>
      <c r="N20" s="388"/>
      <c r="O20" s="387"/>
      <c r="P20" s="393"/>
      <c r="Q20" s="379" t="s">
        <v>109</v>
      </c>
      <c r="R20" s="388"/>
      <c r="S20" s="387"/>
      <c r="T20" s="380"/>
      <c r="U20" s="387" t="s">
        <v>106</v>
      </c>
      <c r="V20" s="364"/>
      <c r="W20" s="555" t="s">
        <v>169</v>
      </c>
      <c r="X20"/>
      <c r="Y20"/>
      <c r="Z20"/>
      <c r="AA20"/>
      <c r="AB20"/>
    </row>
    <row r="21" spans="1:28" ht="13.5" customHeight="1">
      <c r="A21" s="556"/>
      <c r="B21" s="376"/>
      <c r="C21" s="377"/>
      <c r="D21" s="376"/>
      <c r="E21" s="377"/>
      <c r="F21" s="376"/>
      <c r="G21" s="377"/>
      <c r="H21" s="376"/>
      <c r="I21" s="377"/>
      <c r="J21" s="376"/>
      <c r="K21" s="377"/>
      <c r="L21" s="419"/>
      <c r="M21" s="423"/>
      <c r="N21" s="390"/>
      <c r="O21" s="391"/>
      <c r="P21" s="394"/>
      <c r="Q21" s="395"/>
      <c r="R21" s="390"/>
      <c r="S21" s="391"/>
      <c r="T21" s="382"/>
      <c r="U21" s="383"/>
      <c r="V21" s="365"/>
      <c r="W21" s="556"/>
      <c r="X21"/>
      <c r="Y21"/>
      <c r="Z21"/>
      <c r="AA21"/>
      <c r="AB21"/>
    </row>
    <row r="22" spans="1:28" ht="13.5" customHeight="1">
      <c r="A22" s="555" t="s">
        <v>170</v>
      </c>
      <c r="B22" s="375"/>
      <c r="C22" s="374"/>
      <c r="D22" s="375"/>
      <c r="E22" s="374"/>
      <c r="F22" s="375"/>
      <c r="G22" s="374"/>
      <c r="H22" s="375"/>
      <c r="I22" s="374"/>
      <c r="J22" s="375"/>
      <c r="K22" s="388"/>
      <c r="L22" s="387" t="s">
        <v>157</v>
      </c>
      <c r="M22" s="388"/>
      <c r="N22" s="387"/>
      <c r="O22" s="388"/>
      <c r="P22" s="387"/>
      <c r="Q22" s="388"/>
      <c r="R22" s="387"/>
      <c r="S22" s="388"/>
      <c r="T22" s="387" t="s">
        <v>108</v>
      </c>
      <c r="U22" s="560" t="s">
        <v>103</v>
      </c>
      <c r="V22" s="561"/>
      <c r="W22" s="555" t="s">
        <v>170</v>
      </c>
      <c r="X22"/>
      <c r="Y22"/>
      <c r="Z22"/>
      <c r="AA22"/>
      <c r="AB22"/>
    </row>
    <row r="23" spans="1:28" ht="13.5" customHeight="1">
      <c r="A23" s="556"/>
      <c r="B23" s="377"/>
      <c r="C23" s="376"/>
      <c r="D23" s="377"/>
      <c r="E23" s="376"/>
      <c r="F23" s="377"/>
      <c r="G23" s="376"/>
      <c r="H23" s="377"/>
      <c r="I23" s="376"/>
      <c r="J23" s="377"/>
      <c r="K23" s="390"/>
      <c r="L23" s="391"/>
      <c r="M23" s="390"/>
      <c r="N23" s="391"/>
      <c r="O23" s="390"/>
      <c r="P23" s="391"/>
      <c r="Q23" s="390"/>
      <c r="R23" s="391"/>
      <c r="S23" s="390"/>
      <c r="T23" s="383"/>
      <c r="U23" s="562" t="s">
        <v>107</v>
      </c>
      <c r="V23" s="564"/>
      <c r="W23" s="556"/>
      <c r="X23"/>
      <c r="Y23"/>
      <c r="Z23"/>
      <c r="AA23"/>
      <c r="AB23"/>
    </row>
    <row r="24" spans="1:28" ht="13.5" customHeight="1">
      <c r="A24" s="555" t="s">
        <v>171</v>
      </c>
      <c r="B24" s="374"/>
      <c r="C24" s="375"/>
      <c r="D24" s="374"/>
      <c r="E24" s="375"/>
      <c r="F24" s="374"/>
      <c r="G24" s="375"/>
      <c r="H24" s="374"/>
      <c r="I24" s="375"/>
      <c r="J24" s="388"/>
      <c r="K24" s="387" t="s">
        <v>113</v>
      </c>
      <c r="L24" s="388"/>
      <c r="M24" s="387"/>
      <c r="N24" s="388"/>
      <c r="O24" s="387"/>
      <c r="P24" s="388"/>
      <c r="Q24" s="387"/>
      <c r="R24" s="388"/>
      <c r="S24" s="387"/>
      <c r="T24" s="360"/>
      <c r="U24" s="359"/>
      <c r="V24" s="364"/>
      <c r="W24" s="555" t="s">
        <v>171</v>
      </c>
      <c r="X24"/>
      <c r="Y24"/>
      <c r="Z24"/>
      <c r="AA24"/>
      <c r="AB24"/>
    </row>
    <row r="25" spans="1:28" ht="13.5" customHeight="1">
      <c r="A25" s="556"/>
      <c r="B25" s="376"/>
      <c r="C25" s="377"/>
      <c r="D25" s="376"/>
      <c r="E25" s="377"/>
      <c r="F25" s="376"/>
      <c r="G25" s="377"/>
      <c r="H25" s="376"/>
      <c r="I25" s="377"/>
      <c r="J25" s="390"/>
      <c r="K25" s="391"/>
      <c r="L25" s="390"/>
      <c r="M25" s="391"/>
      <c r="N25" s="390"/>
      <c r="O25" s="391"/>
      <c r="P25" s="390"/>
      <c r="Q25" s="391"/>
      <c r="R25" s="390"/>
      <c r="S25" s="391"/>
      <c r="T25" s="363"/>
      <c r="U25" s="362"/>
      <c r="V25" s="365"/>
      <c r="W25" s="556"/>
      <c r="X25"/>
      <c r="Y25"/>
      <c r="Z25"/>
      <c r="AA25"/>
      <c r="AB25"/>
    </row>
    <row r="26" spans="1:28" ht="13.5" customHeight="1">
      <c r="A26" s="555" t="s">
        <v>172</v>
      </c>
      <c r="B26" s="375"/>
      <c r="C26" s="374"/>
      <c r="D26" s="375"/>
      <c r="E26" s="374"/>
      <c r="F26" s="375"/>
      <c r="G26" s="560" t="s">
        <v>117</v>
      </c>
      <c r="H26" s="561"/>
      <c r="I26" s="388"/>
      <c r="J26" s="387" t="s">
        <v>114</v>
      </c>
      <c r="K26" s="388"/>
      <c r="L26" s="387"/>
      <c r="M26" s="388"/>
      <c r="N26" s="387"/>
      <c r="O26" s="388"/>
      <c r="P26" s="387"/>
      <c r="Q26" s="360"/>
      <c r="R26" s="359"/>
      <c r="S26" s="360"/>
      <c r="T26" s="359"/>
      <c r="U26" s="360"/>
      <c r="V26" s="359"/>
      <c r="W26" s="555" t="s">
        <v>172</v>
      </c>
      <c r="X26"/>
      <c r="Y26"/>
      <c r="Z26"/>
      <c r="AA26"/>
      <c r="AB26"/>
    </row>
    <row r="27" spans="1:28" ht="13.5" customHeight="1">
      <c r="A27" s="556"/>
      <c r="B27" s="377"/>
      <c r="C27" s="376"/>
      <c r="D27" s="377"/>
      <c r="E27" s="376"/>
      <c r="F27" s="377"/>
      <c r="G27" s="562" t="s">
        <v>120</v>
      </c>
      <c r="H27" s="563"/>
      <c r="I27" s="390"/>
      <c r="J27" s="391"/>
      <c r="K27" s="390"/>
      <c r="L27" s="391"/>
      <c r="M27" s="390"/>
      <c r="N27" s="391"/>
      <c r="O27" s="390"/>
      <c r="P27" s="391"/>
      <c r="Q27" s="363"/>
      <c r="R27" s="362"/>
      <c r="S27" s="363"/>
      <c r="T27" s="362"/>
      <c r="U27" s="363"/>
      <c r="V27" s="362"/>
      <c r="W27" s="556"/>
      <c r="X27"/>
      <c r="Y27"/>
      <c r="Z27"/>
      <c r="AA27"/>
      <c r="AB27"/>
    </row>
    <row r="28" spans="1:28" ht="13.5" customHeight="1">
      <c r="A28" s="555" t="s">
        <v>173</v>
      </c>
      <c r="B28" s="374"/>
      <c r="C28" s="375"/>
      <c r="D28" s="374"/>
      <c r="E28" s="375"/>
      <c r="F28" s="374"/>
      <c r="G28" s="378"/>
      <c r="H28" s="568" t="s">
        <v>116</v>
      </c>
      <c r="I28" s="569"/>
      <c r="J28" s="360"/>
      <c r="K28" s="359"/>
      <c r="L28" s="360"/>
      <c r="M28" s="359"/>
      <c r="N28" s="360"/>
      <c r="O28" s="359"/>
      <c r="P28" s="360"/>
      <c r="Q28" s="359"/>
      <c r="R28" s="360"/>
      <c r="S28" s="359"/>
      <c r="T28" s="360"/>
      <c r="U28" s="359"/>
      <c r="V28" s="364"/>
      <c r="W28" s="555" t="s">
        <v>173</v>
      </c>
      <c r="X28"/>
      <c r="Y28"/>
      <c r="Z28"/>
      <c r="AA28"/>
      <c r="AB28"/>
    </row>
    <row r="29" spans="1:23" ht="13.5" customHeight="1">
      <c r="A29" s="556"/>
      <c r="B29" s="426"/>
      <c r="C29" s="378"/>
      <c r="D29" s="426"/>
      <c r="E29" s="378"/>
      <c r="F29" s="426"/>
      <c r="G29" s="378"/>
      <c r="H29" s="570" t="s">
        <v>118</v>
      </c>
      <c r="I29" s="563"/>
      <c r="J29" s="369"/>
      <c r="K29" s="427"/>
      <c r="L29" s="369"/>
      <c r="M29" s="427"/>
      <c r="N29" s="369"/>
      <c r="O29" s="427"/>
      <c r="P29" s="369"/>
      <c r="Q29" s="427"/>
      <c r="R29" s="369"/>
      <c r="S29" s="427"/>
      <c r="T29" s="369"/>
      <c r="U29" s="427"/>
      <c r="V29" s="365"/>
      <c r="W29" s="556"/>
    </row>
    <row r="30" spans="1:22" ht="12.75" customHeight="1">
      <c r="A30" s="557" t="s">
        <v>174</v>
      </c>
      <c r="B30" s="558"/>
      <c r="C30" s="559" t="s">
        <v>176</v>
      </c>
      <c r="D30" s="559"/>
      <c r="E30" s="559" t="s">
        <v>177</v>
      </c>
      <c r="F30" s="559"/>
      <c r="G30" s="559" t="s">
        <v>178</v>
      </c>
      <c r="H30" s="559"/>
      <c r="I30" s="559" t="s">
        <v>179</v>
      </c>
      <c r="J30" s="559"/>
      <c r="K30" s="559" t="s">
        <v>180</v>
      </c>
      <c r="L30" s="559"/>
      <c r="M30" s="559" t="s">
        <v>181</v>
      </c>
      <c r="N30" s="559"/>
      <c r="O30" s="559" t="s">
        <v>182</v>
      </c>
      <c r="P30" s="559"/>
      <c r="Q30" s="559" t="s">
        <v>183</v>
      </c>
      <c r="R30" s="559"/>
      <c r="S30" s="559" t="s">
        <v>184</v>
      </c>
      <c r="T30" s="559"/>
      <c r="U30" s="559" t="s">
        <v>185</v>
      </c>
      <c r="V30" s="559"/>
    </row>
    <row r="31" spans="2:22" ht="13.5" customHeight="1">
      <c r="B31" s="557" t="s">
        <v>175</v>
      </c>
      <c r="C31" s="558"/>
      <c r="D31" s="557" t="s">
        <v>186</v>
      </c>
      <c r="E31" s="558"/>
      <c r="F31" s="557" t="s">
        <v>187</v>
      </c>
      <c r="G31" s="558"/>
      <c r="H31" s="557" t="s">
        <v>188</v>
      </c>
      <c r="I31" s="558"/>
      <c r="J31" s="557" t="s">
        <v>189</v>
      </c>
      <c r="K31" s="558"/>
      <c r="L31" s="557" t="s">
        <v>190</v>
      </c>
      <c r="M31" s="558"/>
      <c r="N31" s="557" t="s">
        <v>191</v>
      </c>
      <c r="O31" s="558"/>
      <c r="P31" s="557" t="s">
        <v>192</v>
      </c>
      <c r="Q31" s="558"/>
      <c r="R31" s="557" t="s">
        <v>193</v>
      </c>
      <c r="S31" s="558"/>
      <c r="T31" s="557" t="s">
        <v>194</v>
      </c>
      <c r="U31" s="558"/>
      <c r="V31" s="428"/>
    </row>
    <row r="32" ht="12.75" customHeight="1"/>
    <row r="33" ht="13.5" customHeight="1"/>
    <row r="34" ht="12.75" customHeight="1"/>
    <row r="35" ht="13.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sheetData>
  <mergeCells count="72">
    <mergeCell ref="N17:O17"/>
    <mergeCell ref="L17:M17"/>
    <mergeCell ref="H29:I29"/>
    <mergeCell ref="G26:H26"/>
    <mergeCell ref="G27:H27"/>
    <mergeCell ref="C2:D3"/>
    <mergeCell ref="E2:F3"/>
    <mergeCell ref="B12:C12"/>
    <mergeCell ref="B13:C13"/>
    <mergeCell ref="G2:H3"/>
    <mergeCell ref="I2:J3"/>
    <mergeCell ref="H28:I28"/>
    <mergeCell ref="I30:J30"/>
    <mergeCell ref="H4:I4"/>
    <mergeCell ref="H5:I5"/>
    <mergeCell ref="A30:B30"/>
    <mergeCell ref="C30:D30"/>
    <mergeCell ref="E30:F30"/>
    <mergeCell ref="G30:H30"/>
    <mergeCell ref="A4:A5"/>
    <mergeCell ref="A6:A7"/>
    <mergeCell ref="A8:A9"/>
    <mergeCell ref="W10:W11"/>
    <mergeCell ref="S2:T3"/>
    <mergeCell ref="K2:L3"/>
    <mergeCell ref="M2:N3"/>
    <mergeCell ref="O2:P2"/>
    <mergeCell ref="O3:P3"/>
    <mergeCell ref="O30:P30"/>
    <mergeCell ref="Q30:R30"/>
    <mergeCell ref="S30:T30"/>
    <mergeCell ref="U22:V22"/>
    <mergeCell ref="U23:V23"/>
    <mergeCell ref="F31:G31"/>
    <mergeCell ref="H31:I31"/>
    <mergeCell ref="U2:V2"/>
    <mergeCell ref="W2:W3"/>
    <mergeCell ref="W4:W5"/>
    <mergeCell ref="W6:W7"/>
    <mergeCell ref="U3:V3"/>
    <mergeCell ref="W8:W9"/>
    <mergeCell ref="K30:L30"/>
    <mergeCell ref="M30:N30"/>
    <mergeCell ref="W12:W13"/>
    <mergeCell ref="W14:W15"/>
    <mergeCell ref="W16:W17"/>
    <mergeCell ref="W18:W19"/>
    <mergeCell ref="W20:W21"/>
    <mergeCell ref="W22:W23"/>
    <mergeCell ref="W26:W27"/>
    <mergeCell ref="W28:W29"/>
    <mergeCell ref="W24:W25"/>
    <mergeCell ref="A16:A17"/>
    <mergeCell ref="R31:S31"/>
    <mergeCell ref="T31:U31"/>
    <mergeCell ref="U30:V30"/>
    <mergeCell ref="J31:K31"/>
    <mergeCell ref="L31:M31"/>
    <mergeCell ref="N31:O31"/>
    <mergeCell ref="P31:Q31"/>
    <mergeCell ref="B31:C31"/>
    <mergeCell ref="D31:E31"/>
    <mergeCell ref="A18:A19"/>
    <mergeCell ref="A10:A11"/>
    <mergeCell ref="A28:A29"/>
    <mergeCell ref="A2:A3"/>
    <mergeCell ref="A20:A21"/>
    <mergeCell ref="A22:A23"/>
    <mergeCell ref="A24:A25"/>
    <mergeCell ref="A26:A27"/>
    <mergeCell ref="A12:A13"/>
    <mergeCell ref="A14:A15"/>
  </mergeCells>
  <printOptions/>
  <pageMargins left="0.75" right="0.75" top="1" bottom="1" header="0.512" footer="0.512"/>
  <pageSetup horizontalDpi="200" verticalDpi="200" orientation="portrait" paperSize="9" r:id="rId2"/>
  <drawing r:id="rId1"/>
</worksheet>
</file>

<file path=xl/worksheets/sheet5.xml><?xml version="1.0" encoding="utf-8"?>
<worksheet xmlns="http://schemas.openxmlformats.org/spreadsheetml/2006/main" xmlns:r="http://schemas.openxmlformats.org/officeDocument/2006/relationships">
  <dimension ref="A1:W45"/>
  <sheetViews>
    <sheetView workbookViewId="0" topLeftCell="A16">
      <selection activeCell="J21" sqref="J21"/>
    </sheetView>
  </sheetViews>
  <sheetFormatPr defaultColWidth="9.00390625" defaultRowHeight="13.5"/>
  <cols>
    <col min="1" max="1" width="0.74609375" style="0" customWidth="1"/>
    <col min="2" max="2" width="11.00390625" style="0" bestFit="1" customWidth="1"/>
    <col min="3" max="3" width="9.625" style="0" bestFit="1" customWidth="1"/>
    <col min="4" max="5" width="0.74609375" style="0" customWidth="1"/>
    <col min="6" max="6" width="11.00390625" style="0" bestFit="1" customWidth="1"/>
    <col min="7" max="7" width="9.625" style="0" bestFit="1" customWidth="1"/>
    <col min="8" max="9" width="0.74609375" style="0" customWidth="1"/>
    <col min="10" max="10" width="11.00390625" style="0" bestFit="1" customWidth="1"/>
    <col min="11" max="11" width="9.625" style="0" bestFit="1" customWidth="1"/>
    <col min="12" max="13" width="0.74609375" style="0" customWidth="1"/>
    <col min="14" max="14" width="11.00390625" style="0" bestFit="1" customWidth="1"/>
    <col min="15" max="15" width="9.625" style="0" bestFit="1" customWidth="1"/>
    <col min="16" max="17" width="0.74609375" style="0" customWidth="1"/>
    <col min="18" max="18" width="11.00390625" style="0" bestFit="1" customWidth="1"/>
    <col min="19" max="19" width="9.625" style="0" bestFit="1" customWidth="1"/>
    <col min="20" max="21" width="0.74609375" style="0" customWidth="1"/>
    <col min="22" max="22" width="11.00390625" style="0" bestFit="1" customWidth="1"/>
    <col min="23" max="23" width="9.625" style="0" bestFit="1" customWidth="1"/>
    <col min="24" max="16384" width="0.74609375" style="0" customWidth="1"/>
  </cols>
  <sheetData>
    <row r="1" spans="2:23" ht="13.5">
      <c r="B1" s="244" t="s">
        <v>37</v>
      </c>
      <c r="C1" s="42" t="s">
        <v>38</v>
      </c>
      <c r="F1" s="244" t="s">
        <v>37</v>
      </c>
      <c r="G1" s="42" t="s">
        <v>38</v>
      </c>
      <c r="J1" s="244" t="s">
        <v>37</v>
      </c>
      <c r="K1" s="42" t="s">
        <v>38</v>
      </c>
      <c r="N1" s="244" t="s">
        <v>37</v>
      </c>
      <c r="O1" s="42" t="s">
        <v>38</v>
      </c>
      <c r="R1" s="244" t="s">
        <v>37</v>
      </c>
      <c r="S1" s="42" t="s">
        <v>38</v>
      </c>
      <c r="V1" s="244" t="s">
        <v>37</v>
      </c>
      <c r="W1" s="42" t="s">
        <v>38</v>
      </c>
    </row>
    <row r="2" spans="2:23" ht="13.5">
      <c r="B2" s="246" t="s">
        <v>44</v>
      </c>
      <c r="C2" s="252" t="str">
        <f>プレイヤーシート!FM3</f>
        <v>投了</v>
      </c>
      <c r="F2" s="246" t="s">
        <v>44</v>
      </c>
      <c r="G2" s="252" t="str">
        <f>プレイヤーシート!FN3</f>
        <v>CB様</v>
      </c>
      <c r="J2" s="246" t="s">
        <v>44</v>
      </c>
      <c r="K2" s="252" t="str">
        <f>プレイヤーシート!FO3</f>
        <v>えび様</v>
      </c>
      <c r="N2" s="246" t="s">
        <v>44</v>
      </c>
      <c r="O2" s="252">
        <f>プレイヤーシート!FP3</f>
        <v>0</v>
      </c>
      <c r="R2" s="246" t="s">
        <v>44</v>
      </c>
      <c r="S2" s="252">
        <f>プレイヤーシート!FQ3</f>
        <v>0</v>
      </c>
      <c r="V2" s="246" t="s">
        <v>44</v>
      </c>
      <c r="W2" s="252">
        <f>プレイヤーシート!FR3</f>
        <v>0</v>
      </c>
    </row>
    <row r="3" spans="2:23" ht="13.5">
      <c r="B3" s="247" t="s">
        <v>37</v>
      </c>
      <c r="C3" s="43" t="s">
        <v>38</v>
      </c>
      <c r="F3" s="247" t="s">
        <v>37</v>
      </c>
      <c r="G3" s="43" t="s">
        <v>38</v>
      </c>
      <c r="J3" s="247" t="s">
        <v>37</v>
      </c>
      <c r="K3" s="43" t="s">
        <v>38</v>
      </c>
      <c r="N3" s="247" t="s">
        <v>37</v>
      </c>
      <c r="O3" s="43" t="s">
        <v>38</v>
      </c>
      <c r="R3" s="247" t="s">
        <v>37</v>
      </c>
      <c r="S3" s="43" t="s">
        <v>38</v>
      </c>
      <c r="V3" s="247" t="s">
        <v>37</v>
      </c>
      <c r="W3" s="43" t="s">
        <v>38</v>
      </c>
    </row>
    <row r="4" spans="2:23" ht="13.5">
      <c r="B4" s="246" t="s">
        <v>50</v>
      </c>
      <c r="C4" s="252" t="str">
        <f>プレイヤーシート!FM3</f>
        <v>投了</v>
      </c>
      <c r="F4" s="246" t="s">
        <v>50</v>
      </c>
      <c r="G4" s="252" t="str">
        <f>プレイヤーシート!FN3</f>
        <v>CB様</v>
      </c>
      <c r="J4" s="246" t="s">
        <v>50</v>
      </c>
      <c r="K4" s="252" t="str">
        <f>プレイヤーシート!FO3</f>
        <v>えび様</v>
      </c>
      <c r="N4" s="246" t="s">
        <v>50</v>
      </c>
      <c r="O4" s="252">
        <f>プレイヤーシート!FP3</f>
        <v>0</v>
      </c>
      <c r="R4" s="246" t="s">
        <v>50</v>
      </c>
      <c r="S4" s="252">
        <f>プレイヤーシート!FQ3</f>
        <v>0</v>
      </c>
      <c r="V4" s="246" t="s">
        <v>50</v>
      </c>
      <c r="W4" s="252">
        <f>プレイヤーシート!FR3</f>
        <v>0</v>
      </c>
    </row>
    <row r="5" spans="2:23" ht="13.5">
      <c r="B5" s="247" t="s">
        <v>37</v>
      </c>
      <c r="C5" s="43" t="s">
        <v>38</v>
      </c>
      <c r="F5" s="247" t="s">
        <v>37</v>
      </c>
      <c r="G5" s="43" t="s">
        <v>38</v>
      </c>
      <c r="J5" s="247" t="s">
        <v>37</v>
      </c>
      <c r="K5" s="43" t="s">
        <v>38</v>
      </c>
      <c r="N5" s="247" t="s">
        <v>37</v>
      </c>
      <c r="O5" s="43" t="s">
        <v>38</v>
      </c>
      <c r="R5" s="247" t="s">
        <v>37</v>
      </c>
      <c r="S5" s="43" t="s">
        <v>38</v>
      </c>
      <c r="V5" s="247" t="s">
        <v>37</v>
      </c>
      <c r="W5" s="43" t="s">
        <v>38</v>
      </c>
    </row>
    <row r="6" spans="2:23" ht="13.5">
      <c r="B6" s="246" t="s">
        <v>46</v>
      </c>
      <c r="C6" s="252" t="str">
        <f>プレイヤーシート!FM3</f>
        <v>投了</v>
      </c>
      <c r="F6" s="246" t="s">
        <v>46</v>
      </c>
      <c r="G6" s="252" t="str">
        <f>プレイヤーシート!FN3</f>
        <v>CB様</v>
      </c>
      <c r="J6" s="246" t="s">
        <v>46</v>
      </c>
      <c r="K6" s="252" t="str">
        <f>プレイヤーシート!FO3</f>
        <v>えび様</v>
      </c>
      <c r="N6" s="246" t="s">
        <v>46</v>
      </c>
      <c r="O6" s="252">
        <f>プレイヤーシート!FP3</f>
        <v>0</v>
      </c>
      <c r="R6" s="246" t="s">
        <v>46</v>
      </c>
      <c r="S6" s="252">
        <f>プレイヤーシート!FQ3</f>
        <v>0</v>
      </c>
      <c r="V6" s="246" t="s">
        <v>46</v>
      </c>
      <c r="W6" s="252">
        <f>プレイヤーシート!FR3</f>
        <v>0</v>
      </c>
    </row>
    <row r="7" spans="2:23" ht="13.5">
      <c r="B7" s="247" t="s">
        <v>37</v>
      </c>
      <c r="C7" s="43" t="s">
        <v>38</v>
      </c>
      <c r="F7" s="247" t="s">
        <v>37</v>
      </c>
      <c r="G7" s="43" t="s">
        <v>38</v>
      </c>
      <c r="J7" s="247" t="s">
        <v>37</v>
      </c>
      <c r="K7" s="43" t="s">
        <v>38</v>
      </c>
      <c r="N7" s="247" t="s">
        <v>37</v>
      </c>
      <c r="O7" s="43" t="s">
        <v>38</v>
      </c>
      <c r="R7" s="247" t="s">
        <v>37</v>
      </c>
      <c r="S7" s="43" t="s">
        <v>38</v>
      </c>
      <c r="V7" s="247" t="s">
        <v>37</v>
      </c>
      <c r="W7" s="43" t="s">
        <v>38</v>
      </c>
    </row>
    <row r="8" spans="2:23" ht="13.5">
      <c r="B8" s="246" t="s">
        <v>47</v>
      </c>
      <c r="C8" s="252" t="str">
        <f>プレイヤーシート!FM3</f>
        <v>投了</v>
      </c>
      <c r="F8" s="246" t="s">
        <v>47</v>
      </c>
      <c r="G8" s="252" t="str">
        <f>プレイヤーシート!FN3</f>
        <v>CB様</v>
      </c>
      <c r="J8" s="246" t="s">
        <v>47</v>
      </c>
      <c r="K8" s="252" t="str">
        <f>プレイヤーシート!FO3</f>
        <v>えび様</v>
      </c>
      <c r="N8" s="246" t="s">
        <v>47</v>
      </c>
      <c r="O8" s="252">
        <f>プレイヤーシート!FP3</f>
        <v>0</v>
      </c>
      <c r="R8" s="246" t="s">
        <v>47</v>
      </c>
      <c r="S8" s="252">
        <f>プレイヤーシート!FQ3</f>
        <v>0</v>
      </c>
      <c r="V8" s="246" t="s">
        <v>47</v>
      </c>
      <c r="W8" s="252">
        <f>プレイヤーシート!FR3</f>
        <v>0</v>
      </c>
    </row>
    <row r="9" spans="2:23" ht="13.5">
      <c r="B9" s="247" t="s">
        <v>37</v>
      </c>
      <c r="C9" s="43" t="s">
        <v>38</v>
      </c>
      <c r="F9" s="247" t="s">
        <v>37</v>
      </c>
      <c r="G9" s="43" t="s">
        <v>38</v>
      </c>
      <c r="J9" s="247" t="s">
        <v>37</v>
      </c>
      <c r="K9" s="43" t="s">
        <v>38</v>
      </c>
      <c r="N9" s="247" t="s">
        <v>37</v>
      </c>
      <c r="O9" s="43" t="s">
        <v>38</v>
      </c>
      <c r="R9" s="247" t="s">
        <v>37</v>
      </c>
      <c r="S9" s="43" t="s">
        <v>38</v>
      </c>
      <c r="V9" s="247" t="s">
        <v>37</v>
      </c>
      <c r="W9" s="43" t="s">
        <v>38</v>
      </c>
    </row>
    <row r="10" spans="2:23" ht="13.5">
      <c r="B10" s="246" t="s">
        <v>49</v>
      </c>
      <c r="C10" s="252" t="str">
        <f>プレイヤーシート!FM3</f>
        <v>投了</v>
      </c>
      <c r="F10" s="246" t="s">
        <v>49</v>
      </c>
      <c r="G10" s="252" t="str">
        <f>プレイヤーシート!FN3</f>
        <v>CB様</v>
      </c>
      <c r="J10" s="246" t="s">
        <v>49</v>
      </c>
      <c r="K10" s="252" t="str">
        <f>プレイヤーシート!FO3</f>
        <v>えび様</v>
      </c>
      <c r="N10" s="246" t="s">
        <v>49</v>
      </c>
      <c r="O10" s="252">
        <f>プレイヤーシート!FP3</f>
        <v>0</v>
      </c>
      <c r="R10" s="246" t="s">
        <v>49</v>
      </c>
      <c r="S10" s="252">
        <f>プレイヤーシート!FQ3</f>
        <v>0</v>
      </c>
      <c r="V10" s="246" t="s">
        <v>49</v>
      </c>
      <c r="W10" s="252">
        <f>プレイヤーシート!FR3</f>
        <v>0</v>
      </c>
    </row>
    <row r="11" spans="2:23" ht="13.5">
      <c r="B11" s="247" t="s">
        <v>37</v>
      </c>
      <c r="C11" s="43" t="s">
        <v>38</v>
      </c>
      <c r="F11" s="247" t="s">
        <v>37</v>
      </c>
      <c r="G11" s="43" t="s">
        <v>38</v>
      </c>
      <c r="J11" s="247" t="s">
        <v>37</v>
      </c>
      <c r="K11" s="43" t="s">
        <v>38</v>
      </c>
      <c r="N11" s="247" t="s">
        <v>37</v>
      </c>
      <c r="O11" s="43" t="s">
        <v>38</v>
      </c>
      <c r="R11" s="247" t="s">
        <v>37</v>
      </c>
      <c r="S11" s="43" t="s">
        <v>38</v>
      </c>
      <c r="V11" s="247" t="s">
        <v>37</v>
      </c>
      <c r="W11" s="43" t="s">
        <v>38</v>
      </c>
    </row>
    <row r="12" spans="2:23" ht="13.5">
      <c r="B12" s="246" t="s">
        <v>48</v>
      </c>
      <c r="C12" s="252" t="str">
        <f>プレイヤーシート!FM3</f>
        <v>投了</v>
      </c>
      <c r="F12" s="246" t="s">
        <v>48</v>
      </c>
      <c r="G12" s="252" t="str">
        <f>プレイヤーシート!FN3</f>
        <v>CB様</v>
      </c>
      <c r="J12" s="246" t="s">
        <v>48</v>
      </c>
      <c r="K12" s="252" t="str">
        <f>プレイヤーシート!FO3</f>
        <v>えび様</v>
      </c>
      <c r="N12" s="246" t="s">
        <v>48</v>
      </c>
      <c r="O12" s="252">
        <f>プレイヤーシート!FP3</f>
        <v>0</v>
      </c>
      <c r="R12" s="246" t="s">
        <v>48</v>
      </c>
      <c r="S12" s="252">
        <f>プレイヤーシート!FQ3</f>
        <v>0</v>
      </c>
      <c r="V12" s="246" t="s">
        <v>48</v>
      </c>
      <c r="W12" s="252">
        <f>プレイヤーシート!FR3</f>
        <v>0</v>
      </c>
    </row>
    <row r="13" spans="2:23" ht="13.5">
      <c r="B13" s="247" t="s">
        <v>37</v>
      </c>
      <c r="C13" s="43" t="s">
        <v>38</v>
      </c>
      <c r="F13" s="247" t="s">
        <v>37</v>
      </c>
      <c r="G13" s="43" t="s">
        <v>38</v>
      </c>
      <c r="J13" s="247" t="s">
        <v>37</v>
      </c>
      <c r="K13" s="43" t="s">
        <v>38</v>
      </c>
      <c r="N13" s="247" t="s">
        <v>37</v>
      </c>
      <c r="O13" s="43" t="s">
        <v>38</v>
      </c>
      <c r="R13" s="247" t="s">
        <v>37</v>
      </c>
      <c r="S13" s="43" t="s">
        <v>38</v>
      </c>
      <c r="V13" s="247" t="s">
        <v>37</v>
      </c>
      <c r="W13" s="43" t="s">
        <v>38</v>
      </c>
    </row>
    <row r="14" spans="2:23" ht="13.5">
      <c r="B14" s="246" t="s">
        <v>75</v>
      </c>
      <c r="C14" s="252" t="str">
        <f>プレイヤーシート!FM3</f>
        <v>投了</v>
      </c>
      <c r="F14" s="246" t="s">
        <v>75</v>
      </c>
      <c r="G14" s="252" t="str">
        <f>プレイヤーシート!FN3</f>
        <v>CB様</v>
      </c>
      <c r="J14" s="246" t="s">
        <v>75</v>
      </c>
      <c r="K14" s="252" t="str">
        <f>プレイヤーシート!FO3</f>
        <v>えび様</v>
      </c>
      <c r="N14" s="246" t="s">
        <v>75</v>
      </c>
      <c r="O14" s="252">
        <f>プレイヤーシート!FP3</f>
        <v>0</v>
      </c>
      <c r="R14" s="246" t="s">
        <v>75</v>
      </c>
      <c r="S14" s="252">
        <f>プレイヤーシート!FQ3</f>
        <v>0</v>
      </c>
      <c r="V14" s="246" t="s">
        <v>75</v>
      </c>
      <c r="W14" s="252">
        <f>プレイヤーシート!FR3</f>
        <v>0</v>
      </c>
    </row>
    <row r="15" spans="2:23" ht="13.5">
      <c r="B15" s="247" t="s">
        <v>37</v>
      </c>
      <c r="C15" s="43" t="s">
        <v>38</v>
      </c>
      <c r="F15" s="247" t="s">
        <v>37</v>
      </c>
      <c r="G15" s="43" t="s">
        <v>38</v>
      </c>
      <c r="J15" s="247" t="s">
        <v>37</v>
      </c>
      <c r="K15" s="43" t="s">
        <v>38</v>
      </c>
      <c r="N15" s="247" t="s">
        <v>37</v>
      </c>
      <c r="O15" s="43" t="s">
        <v>38</v>
      </c>
      <c r="R15" s="247" t="s">
        <v>37</v>
      </c>
      <c r="S15" s="43" t="s">
        <v>38</v>
      </c>
      <c r="V15" s="247" t="s">
        <v>37</v>
      </c>
      <c r="W15" s="43" t="s">
        <v>38</v>
      </c>
    </row>
    <row r="16" spans="2:23" ht="14.25" thickBot="1">
      <c r="B16" s="22" t="s">
        <v>63</v>
      </c>
      <c r="C16" s="253" t="str">
        <f>プレイヤーシート!FM3</f>
        <v>投了</v>
      </c>
      <c r="F16" s="22" t="s">
        <v>63</v>
      </c>
      <c r="G16" s="253" t="str">
        <f>プレイヤーシート!FN3</f>
        <v>CB様</v>
      </c>
      <c r="J16" s="22" t="s">
        <v>63</v>
      </c>
      <c r="K16" s="253" t="str">
        <f>プレイヤーシート!FO3</f>
        <v>えび様</v>
      </c>
      <c r="N16" s="22" t="s">
        <v>63</v>
      </c>
      <c r="O16" s="253">
        <f>プレイヤーシート!FP3</f>
        <v>0</v>
      </c>
      <c r="R16" s="22" t="s">
        <v>63</v>
      </c>
      <c r="S16" s="253">
        <f>プレイヤーシート!FQ3</f>
        <v>0</v>
      </c>
      <c r="V16" s="22" t="s">
        <v>63</v>
      </c>
      <c r="W16" s="253">
        <f>プレイヤーシート!FR3</f>
        <v>0</v>
      </c>
    </row>
    <row r="17" ht="14.25" thickBot="1"/>
    <row r="18" spans="1:6" ht="14.25" thickBot="1">
      <c r="A18" s="260"/>
      <c r="B18" s="256" t="s">
        <v>89</v>
      </c>
      <c r="C18" s="255" t="s">
        <v>90</v>
      </c>
      <c r="F18" s="277" t="s">
        <v>44</v>
      </c>
    </row>
    <row r="19" spans="1:6" ht="13.5">
      <c r="A19" s="260"/>
      <c r="B19" s="257">
        <v>0</v>
      </c>
      <c r="C19" s="254">
        <v>0</v>
      </c>
      <c r="F19" s="214" t="s">
        <v>50</v>
      </c>
    </row>
    <row r="20" spans="1:6" ht="13.5">
      <c r="A20" s="260"/>
      <c r="B20" s="258">
        <v>1</v>
      </c>
      <c r="C20" s="252">
        <v>30</v>
      </c>
      <c r="F20" s="214" t="s">
        <v>46</v>
      </c>
    </row>
    <row r="21" spans="1:6" ht="13.5">
      <c r="A21" s="260"/>
      <c r="B21" s="258">
        <v>2</v>
      </c>
      <c r="C21" s="252">
        <v>35</v>
      </c>
      <c r="F21" s="214" t="s">
        <v>47</v>
      </c>
    </row>
    <row r="22" spans="1:6" ht="13.5">
      <c r="A22" s="260"/>
      <c r="B22" s="258">
        <v>3</v>
      </c>
      <c r="C22" s="252">
        <v>40</v>
      </c>
      <c r="F22" s="214" t="s">
        <v>49</v>
      </c>
    </row>
    <row r="23" spans="1:6" ht="13.5">
      <c r="A23" s="260"/>
      <c r="B23" s="258">
        <v>4</v>
      </c>
      <c r="C23" s="252">
        <v>45</v>
      </c>
      <c r="F23" s="214" t="s">
        <v>79</v>
      </c>
    </row>
    <row r="24" spans="1:6" ht="13.5">
      <c r="A24" s="260"/>
      <c r="B24" s="258">
        <v>5</v>
      </c>
      <c r="C24" s="252">
        <v>50</v>
      </c>
      <c r="F24" s="214" t="s">
        <v>75</v>
      </c>
    </row>
    <row r="25" spans="1:6" ht="14.25" thickBot="1">
      <c r="A25" s="260"/>
      <c r="B25" s="258">
        <v>6</v>
      </c>
      <c r="C25" s="252">
        <v>55</v>
      </c>
      <c r="F25" s="278" t="s">
        <v>63</v>
      </c>
    </row>
    <row r="26" spans="1:3" ht="13.5">
      <c r="A26" s="260"/>
      <c r="B26" s="258">
        <v>7</v>
      </c>
      <c r="C26" s="252">
        <v>60</v>
      </c>
    </row>
    <row r="27" spans="1:3" ht="13.5">
      <c r="A27" s="260"/>
      <c r="B27" s="258">
        <v>8</v>
      </c>
      <c r="C27" s="252">
        <v>65</v>
      </c>
    </row>
    <row r="28" spans="1:3" ht="13.5">
      <c r="A28" s="260"/>
      <c r="B28" s="258">
        <v>9</v>
      </c>
      <c r="C28" s="252">
        <v>70</v>
      </c>
    </row>
    <row r="29" spans="1:3" ht="13.5">
      <c r="A29" s="260"/>
      <c r="B29" s="258">
        <v>10</v>
      </c>
      <c r="C29" s="252">
        <v>75</v>
      </c>
    </row>
    <row r="30" spans="1:3" ht="13.5">
      <c r="A30" s="260"/>
      <c r="B30" s="258">
        <v>11</v>
      </c>
      <c r="C30" s="252">
        <v>80</v>
      </c>
    </row>
    <row r="31" spans="1:3" ht="13.5">
      <c r="A31" s="260"/>
      <c r="B31" s="258">
        <v>12</v>
      </c>
      <c r="C31" s="252">
        <v>90</v>
      </c>
    </row>
    <row r="32" spans="1:3" ht="13.5">
      <c r="A32" s="260"/>
      <c r="B32" s="258">
        <v>13</v>
      </c>
      <c r="C32" s="252">
        <v>100</v>
      </c>
    </row>
    <row r="33" spans="1:3" ht="13.5">
      <c r="A33" s="260"/>
      <c r="B33" s="258">
        <v>14</v>
      </c>
      <c r="C33" s="252">
        <v>110</v>
      </c>
    </row>
    <row r="34" spans="1:3" ht="13.5">
      <c r="A34" s="260"/>
      <c r="B34" s="258">
        <v>15</v>
      </c>
      <c r="C34" s="252">
        <v>125</v>
      </c>
    </row>
    <row r="35" spans="1:3" ht="13.5">
      <c r="A35" s="260"/>
      <c r="B35" s="258">
        <v>16</v>
      </c>
      <c r="C35" s="252">
        <v>150</v>
      </c>
    </row>
    <row r="36" spans="1:3" ht="13.5">
      <c r="A36" s="260"/>
      <c r="B36" s="258">
        <v>17</v>
      </c>
      <c r="C36" s="252">
        <v>175</v>
      </c>
    </row>
    <row r="37" spans="1:3" ht="13.5">
      <c r="A37" s="260"/>
      <c r="B37" s="258">
        <v>18</v>
      </c>
      <c r="C37" s="252">
        <v>200</v>
      </c>
    </row>
    <row r="38" spans="1:3" ht="13.5">
      <c r="A38" s="260"/>
      <c r="B38" s="258">
        <v>19</v>
      </c>
      <c r="C38" s="252">
        <v>225</v>
      </c>
    </row>
    <row r="39" spans="1:3" ht="13.5">
      <c r="A39" s="260"/>
      <c r="B39" s="258">
        <v>20</v>
      </c>
      <c r="C39" s="252">
        <v>250</v>
      </c>
    </row>
    <row r="40" spans="1:3" ht="13.5">
      <c r="A40" s="260"/>
      <c r="B40" s="258">
        <v>21</v>
      </c>
      <c r="C40" s="252">
        <v>275</v>
      </c>
    </row>
    <row r="41" spans="1:3" ht="13.5">
      <c r="A41" s="260"/>
      <c r="B41" s="258">
        <v>22</v>
      </c>
      <c r="C41" s="252">
        <v>300</v>
      </c>
    </row>
    <row r="42" spans="1:3" ht="13.5">
      <c r="A42" s="260"/>
      <c r="B42" s="258">
        <v>23</v>
      </c>
      <c r="C42" s="252">
        <v>325</v>
      </c>
    </row>
    <row r="43" spans="1:3" ht="13.5">
      <c r="A43" s="260"/>
      <c r="B43" s="258">
        <v>24</v>
      </c>
      <c r="C43" s="252">
        <v>350</v>
      </c>
    </row>
    <row r="44" spans="1:3" ht="13.5">
      <c r="A44" s="260"/>
      <c r="B44" s="258">
        <v>25</v>
      </c>
      <c r="C44" s="252">
        <v>375</v>
      </c>
    </row>
    <row r="45" spans="1:3" ht="14.25" thickBot="1">
      <c r="A45" s="260"/>
      <c r="B45" s="259">
        <v>26</v>
      </c>
      <c r="C45" s="253">
        <v>400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Pre-Install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Pre-Install User</dc:creator>
  <cp:keywords/>
  <dc:description/>
  <cp:lastModifiedBy>北条投了</cp:lastModifiedBy>
  <cp:lastPrinted>2009-03-12T03:34:12Z</cp:lastPrinted>
  <dcterms:created xsi:type="dcterms:W3CDTF">2002-10-19T03:59:48Z</dcterms:created>
  <dcterms:modified xsi:type="dcterms:W3CDTF">2009-04-30T22:16:37Z</dcterms:modified>
  <cp:category/>
  <cp:version/>
  <cp:contentType/>
  <cp:contentStatus/>
</cp:coreProperties>
</file>